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IZKAIA\"/>
    </mc:Choice>
  </mc:AlternateContent>
  <workbookProtection workbookAlgorithmName="SHA-512" workbookHashValue="a35Zu9LOQkOFK1llcW7SbuyqR5QS03/Yu2R5mseVzjgV64+Qmacc1ZtgHqIh3tkdh2Yeqt3mVpvGOip7LcTPVA==" workbookSaltValue="o6xW0otB/pOoC47asfic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R8" i="9" s="1"/>
  <c r="BF17" i="11" s="1"/>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Q17" i="20"/>
  <c r="Q18" i="20" s="1"/>
  <c r="S17" i="16"/>
  <c r="S13" i="16"/>
  <c r="P13" i="16"/>
  <c r="AM13" i="20"/>
  <c r="V17" i="16"/>
  <c r="K18" i="2"/>
  <c r="M13" i="2"/>
  <c r="M18" i="2"/>
  <c r="N13" i="2"/>
  <c r="N18" i="2"/>
  <c r="T13" i="12"/>
  <c r="BK15" i="11"/>
  <c r="Q10" i="21"/>
  <c r="BI17" i="11"/>
  <c r="BM15" i="11"/>
  <c r="BW9" i="20"/>
  <c r="BV15" i="16"/>
  <c r="BU17" i="17"/>
  <c r="T13" i="16"/>
  <c r="AZ11" i="11"/>
  <c r="S15" i="16"/>
  <c r="BF12" i="11"/>
  <c r="BL10" i="11"/>
  <c r="BK16" i="11"/>
  <c r="BG16" i="11"/>
  <c r="S17" i="17"/>
  <c r="BM9" i="11"/>
  <c r="BH12" i="16"/>
  <c r="BK10" i="11"/>
  <c r="T13" i="20"/>
  <c r="BF15" i="8"/>
  <c r="BF9" i="8"/>
  <c r="AU18" i="21"/>
  <c r="S15" i="17"/>
  <c r="AH13" i="16"/>
  <c r="S16" i="17"/>
  <c r="L12" i="2"/>
  <c r="L17" i="2"/>
  <c r="X15" i="16"/>
  <c r="X18" i="16" s="1"/>
  <c r="V10" i="16"/>
  <c r="AP13" i="16"/>
  <c r="T18" i="17"/>
  <c r="BG15" i="13"/>
  <c r="BE16" i="13"/>
  <c r="BE15" i="13"/>
  <c r="AX20" i="20"/>
  <c r="B18" i="7" l="1"/>
  <c r="AL16" i="11"/>
  <c r="C16" i="6"/>
  <c r="S19" i="8"/>
  <c r="AB13" i="21"/>
  <c r="BH11" i="11"/>
  <c r="BJ10" i="11"/>
  <c r="BL15" i="11"/>
  <c r="P15" i="17"/>
  <c r="X17" i="17"/>
  <c r="AZ16" i="11"/>
  <c r="BU12" i="17"/>
  <c r="BU9" i="17"/>
  <c r="BV16" i="16"/>
  <c r="T15" i="16"/>
  <c r="BL11" i="11"/>
  <c r="BJ11" i="11"/>
  <c r="AZ17"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H15" i="11"/>
  <c r="AP16" i="20"/>
  <c r="V15" i="11"/>
  <c r="BJ17" i="11"/>
  <c r="BH15" i="16"/>
  <c r="S11" i="17"/>
  <c r="BV10" i="16"/>
  <c r="BW15" i="20"/>
  <c r="BW16" i="20"/>
  <c r="BW17" i="20"/>
  <c r="BU15" i="17"/>
  <c r="T17" i="16"/>
  <c r="BH17" i="11"/>
  <c r="BG9" i="11"/>
  <c r="R10" i="21"/>
  <c r="R13" i="21" s="1"/>
  <c r="R19" i="21" s="1"/>
  <c r="V9" i="11"/>
  <c r="BI10" i="11"/>
  <c r="S9" i="17"/>
  <c r="V12" i="21"/>
  <c r="BL12" i="11"/>
  <c r="BF16" i="11"/>
  <c r="V11"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W20" i="21"/>
  <c r="J20" i="20"/>
  <c r="U10" i="11"/>
  <c r="U16" i="11"/>
  <c r="G13" i="14"/>
  <c r="L20" i="20"/>
  <c r="M20" i="20"/>
  <c r="AA20" i="20"/>
  <c r="N20" i="20"/>
  <c r="G18" i="14"/>
  <c r="AV20" i="20"/>
  <c r="AE20" i="20"/>
  <c r="AB20" i="20"/>
  <c r="Y20" i="20"/>
  <c r="I20" i="20"/>
  <c r="AZ20" i="20"/>
  <c r="R20" i="20"/>
  <c r="AM20" i="20"/>
  <c r="X20" i="20"/>
  <c r="P20" i="20"/>
  <c r="AN20" i="20"/>
  <c r="AO20" i="20"/>
  <c r="T20" i="21"/>
  <c r="AJ20" i="20"/>
  <c r="AZ13" i="11" l="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E20" i="21"/>
  <c r="H20" i="21"/>
  <c r="J20" i="11"/>
  <c r="AJ20" i="17"/>
  <c r="M20" i="21"/>
  <c r="E20" i="16"/>
  <c r="AJ20" i="16"/>
  <c r="F20" i="16"/>
  <c r="K20" i="17"/>
  <c r="AB20" i="16"/>
  <c r="AO20" i="16"/>
  <c r="AV20" i="17"/>
  <c r="AO20" i="11"/>
  <c r="AW20" i="21"/>
  <c r="AK20" i="17"/>
  <c r="Q20" i="16"/>
  <c r="I20" i="12"/>
  <c r="AC20" i="17"/>
  <c r="AZ20" i="11"/>
  <c r="BI20" i="16"/>
  <c r="AP20" i="21"/>
  <c r="AD20" i="11"/>
  <c r="AZ20" i="16"/>
  <c r="V20" i="16"/>
  <c r="O20" i="21"/>
  <c r="K20" i="16"/>
  <c r="J20" i="17"/>
  <c r="AR20" i="20"/>
  <c r="F20" i="21"/>
  <c r="P20" i="21"/>
  <c r="AB20" i="21"/>
  <c r="AV20" i="11"/>
  <c r="P20" i="11"/>
  <c r="BJ20" i="16"/>
  <c r="AL20" i="16"/>
  <c r="E20" i="11"/>
  <c r="Z20" i="17"/>
  <c r="BA20" i="16"/>
  <c r="O12" i="11"/>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<sst xmlns="http://schemas.openxmlformats.org/spreadsheetml/2006/main" count="2102" uniqueCount="918">
  <si>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</si>
  <si>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</si>
  <si>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</si>
  <si>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</si>
  <si>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</si>
  <si>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</si>
  <si>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</si>
  <si>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</si>
  <si>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</si>
  <si>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</si>
  <si>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</si>
  <si>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</si>
  <si>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</si>
  <si>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</si>
  <si>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</si>
  <si>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</si>
  <si>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</si>
  <si>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</si>
  <si>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</si>
  <si>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</si>
  <si>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</si>
  <si>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</si>
  <si>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</si>
  <si>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</si>
  <si>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</si>
  <si>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</si>
  <si>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</si>
  <si>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</si>
  <si>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</si>
  <si>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</si>
  <si>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</si>
  <si>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</si>
  <si>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</si>
  <si>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</si>
  <si>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</si>
  <si>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</si>
  <si>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</si>
  <si>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</si>
  <si>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</si>
  <si>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</si>
  <si>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</si>
  <si>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</si>
  <si>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</si>
  <si>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</si>
  <si>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</si>
  <si>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</si>
  <si>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</si>
  <si>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</si>
  <si>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</si>
  <si>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</si>
  <si>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</si>
  <si>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</si>
  <si>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</si>
  <si>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</si>
  <si>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</si>
  <si>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</si>
  <si>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</si>
  <si>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</si>
  <si>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</si>
  <si>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</si>
  <si>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</si>
  <si>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</si>
  <si>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</si>
  <si>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</si>
  <si>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</si>
  <si>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</si>
  <si>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</si>
  <si>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</si>
  <si>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</si>
  <si>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</si>
  <si>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</si>
  <si>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</si>
  <si>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</si>
  <si>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</si>
  <si>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</si>
  <si>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</si>
  <si>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</si>
  <si>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</si>
  <si>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</si>
  <si>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</si>
  <si>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</si>
  <si>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</si>
  <si>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</si>
  <si>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</si>
  <si>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</si>
  <si>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</si>
  <si>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</si>
  <si>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</si>
  <si>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</si>
  <si>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</si>
  <si>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</si>
  <si>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</si>
  <si>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</si>
  <si>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</si>
  <si>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</si>
  <si>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</si>
  <si>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</si>
  <si>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</si>
  <si>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</si>
  <si>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</si>
  <si>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</si>
  <si>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</si>
  <si>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</si>
  <si>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</si>
  <si>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</si>
  <si>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</si>
  <si>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</si>
  <si>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</si>
  <si>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</si>
  <si>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</si>
  <si>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</si>
  <si>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</si>
  <si>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</si>
  <si>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</si>
  <si>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</si>
  <si>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</si>
  <si>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</si>
  <si>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</si>
  <si>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</si>
  <si>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</si>
  <si>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</si>
  <si>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</si>
  <si>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</si>
  <si>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</si>
  <si>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</si>
  <si>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</si>
  <si>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</si>
  <si>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</si>
  <si>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</si>
  <si>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</si>
  <si>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</si>
  <si>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</si>
  <si>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</si>
  <si>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</si>
  <si>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</si>
  <si>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</si>
  <si>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</si>
  <si>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</si>
  <si>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</si>
  <si>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</si>
  <si>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</si>
  <si>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</si>
  <si>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</si>
  <si>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</si>
  <si>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</si>
  <si>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</si>
  <si>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</si>
  <si>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</si>
  <si>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</si>
  <si>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</si>
  <si>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</si>
  <si>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</si>
  <si>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</si>
  <si>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</si>
  <si>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</si>
  <si>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</si>
  <si>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</si>
  <si>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</si>
  <si>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</si>
  <si>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</si>
  <si>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</si>
  <si>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</si>
  <si>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</si>
  <si>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</si>
  <si>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</si>
  <si>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</si>
  <si>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</si>
  <si>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</si>
  <si>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</si>
  <si>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</si>
  <si>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</si>
  <si>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</si>
  <si>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</si>
  <si>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</si>
  <si>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</si>
  <si>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</si>
  <si>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</si>
  <si>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</si>
  <si>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</si>
  <si>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</si>
  <si>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</si>
  <si>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</si>
  <si>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</si>
  <si>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</si>
  <si>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</si>
  <si>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</si>
  <si>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</si>
  <si>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</si>
  <si>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</si>
  <si>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</si>
  <si>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</si>
  <si>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</si>
  <si>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</si>
  <si>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</si>
  <si>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</si>
  <si>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</si>
  <si>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</si>
  <si>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</si>
  <si>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</si>
  <si>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</si>
  <si>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</si>
  <si>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</si>
  <si>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</si>
  <si>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</si>
  <si>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</si>
  <si>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</si>
  <si>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</si>
  <si>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</si>
  <si>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</si>
  <si>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</si>
  <si>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</si>
  <si>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</si>
  <si>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</si>
  <si>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</si>
  <si>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</si>
  <si>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</si>
  <si>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</si>
  <si>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</si>
  <si>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</si>
  <si>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</si>
  <si>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</si>
  <si>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</si>
  <si>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</si>
  <si>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</si>
  <si>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</si>
  <si>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</si>
  <si>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</si>
  <si>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</si>
  <si>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</si>
  <si>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</si>
  <si>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</si>
  <si>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</si>
  <si>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</si>
  <si>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</si>
  <si>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</si>
  <si>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</si>
  <si>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</si>
  <si>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</si>
  <si>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</si>
  <si>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</si>
  <si>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</si>
  <si>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</si>
  <si>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</si>
  <si>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</si>
  <si>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</si>
  <si>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</si>
  <si>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</si>
  <si>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</si>
  <si>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</si>
  <si>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</si>
  <si>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</si>
  <si>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</si>
  <si>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</si>
  <si>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</si>
  <si>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</si>
  <si>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</si>
  <si>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</si>
  <si>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</si>
  <si>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</si>
  <si>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</si>
  <si>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</si>
  <si>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</si>
  <si>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</si>
  <si>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</si>
  <si>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</si>
  <si>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</si>
  <si>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</si>
  <si>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</si>
  <si>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</si>
  <si>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</si>
  <si>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</si>
  <si>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</si>
  <si>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</si>
  <si>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</si>
  <si>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</si>
  <si>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</si>
  <si>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</si>
  <si>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</si>
  <si>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</si>
  <si>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</si>
  <si>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</si>
  <si>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</si>
  <si>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</si>
  <si>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</si>
  <si>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</si>
  <si>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</si>
  <si>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</si>
  <si>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</si>
  <si>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</si>
  <si>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</si>
  <si>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</si>
  <si>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</si>
  <si>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</si>
  <si>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</si>
  <si>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</si>
  <si>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</si>
  <si>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</si>
  <si>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</si>
  <si>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</si>
  <si>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</si>
  <si>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</si>
  <si>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</si>
  <si>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</si>
  <si>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</si>
  <si>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</si>
  <si>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</si>
  <si>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</si>
  <si>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</si>
  <si>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</si>
  <si>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</si>
  <si>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</si>
  <si>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</si>
  <si>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</si>
  <si>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</si>
  <si>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</si>
  <si>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</si>
  <si>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</si>
  <si>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</si>
  <si>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</si>
  <si>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</si>
  <si>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</si>
  <si>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</si>
  <si>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</si>
  <si>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</si>
  <si>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</si>
  <si>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</si>
  <si>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</si>
  <si>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</si>
  <si>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</si>
  <si>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</si>
  <si>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</si>
  <si>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</si>
  <si>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</si>
  <si>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</si>
  <si>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</si>
  <si>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</si>
  <si>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</si>
  <si>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</si>
  <si>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</si>
  <si>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</si>
  <si>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</si>
  <si>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</si>
  <si>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</si>
  <si>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</si>
  <si>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</si>
  <si>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</si>
  <si>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</si>
  <si>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</si>
  <si>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</si>
  <si>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</si>
  <si>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</si>
  <si>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</si>
  <si>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</si>
  <si>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</si>
  <si>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</si>
  <si>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</si>
  <si>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</si>
  <si>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</si>
  <si>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</si>
  <si>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</si>
  <si>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</si>
  <si>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</si>
  <si>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</si>
  <si>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</si>
  <si>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</si>
  <si>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</si>
  <si>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</si>
  <si>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</si>
  <si>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</si>
  <si>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</si>
  <si>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</si>
  <si>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</si>
  <si>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</si>
  <si>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</si>
  <si>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</si>
  <si>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</si>
  <si>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</si>
  <si>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</si>
  <si>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</si>
  <si>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</si>
  <si>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</si>
  <si>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</si>
  <si>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</si>
  <si>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</si>
  <si>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</si>
  <si>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</si>
  <si>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</si>
  <si>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</si>
  <si>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</si>
  <si>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</si>
  <si>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</si>
  <si>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</si>
  <si>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</si>
  <si>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</si>
  <si>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</si>
  <si>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</si>
  <si>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</si>
  <si>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</si>
  <si>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</si>
  <si>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</si>
  <si>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</si>
  <si>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</si>
  <si>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</si>
  <si>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</si>
  <si>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</si>
  <si>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</si>
  <si>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</si>
  <si>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</si>
  <si>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</si>
  <si>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</si>
  <si>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</si>
  <si>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</si>
  <si>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</si>
  <si>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</si>
  <si>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</si>
  <si>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</si>
  <si>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</si>
  <si>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</si>
  <si>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</si>
  <si>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</si>
  <si>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</si>
  <si>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</si>
  <si>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</si>
  <si>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</si>
  <si>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</si>
  <si>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</si>
  <si>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</si>
  <si>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</si>
  <si>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</si>
  <si>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</si>
  <si>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</si>
  <si>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</si>
  <si>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</si>
  <si>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</si>
  <si>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</si>
  <si>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</si>
  <si>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</si>
  <si>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</si>
  <si>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</si>
  <si>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</si>
  <si>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</si>
  <si>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</si>
  <si>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</si>
  <si>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</si>
  <si>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</si>
  <si>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</si>
  <si>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</si>
  <si>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</si>
  <si>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</si>
  <si>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</si>
  <si>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</si>
  <si>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</si>
  <si>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</si>
  <si>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</si>
  <si>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</si>
  <si>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</si>
  <si>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</si>
  <si>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</si>
  <si>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</si>
  <si>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</si>
  <si>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</si>
  <si>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</si>
  <si>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</si>
  <si>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</si>
  <si>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</si>
  <si>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</si>
  <si>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</si>
  <si>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</si>
  <si>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</si>
  <si>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</si>
  <si>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</si>
  <si>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</si>
  <si>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</si>
  <si>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</si>
  <si>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</si>
  <si>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</si>
  <si>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</si>
  <si>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</si>
  <si>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</si>
  <si>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</si>
  <si>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</si>
  <si>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</si>
  <si>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</si>
  <si>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</si>
  <si>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</si>
  <si>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</si>
  <si>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</si>
  <si>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</si>
  <si>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</si>
  <si>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</si>
  <si>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</si>
  <si>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</si>
  <si>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</si>
  <si>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</si>
  <si>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</si>
  <si>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</si>
  <si>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</si>
  <si>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</si>
  <si>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</si>
  <si>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</si>
  <si>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</si>
  <si>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</si>
  <si>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</si>
  <si>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</si>
  <si>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</si>
  <si>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</si>
  <si>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</si>
  <si>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</si>
  <si>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</si>
  <si>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</si>
  <si>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</si>
  <si>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</si>
  <si>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</si>
  <si>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</si>
  <si>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</si>
  <si>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</si>
  <si>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</si>
  <si>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</si>
  <si>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</si>
  <si>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</si>
  <si>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</si>
  <si>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</si>
  <si>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</si>
  <si>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</si>
  <si>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</si>
  <si>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</si>
  <si>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</si>
  <si>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</si>
  <si>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</si>
  <si>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</si>
  <si>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</si>
  <si>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</si>
  <si>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</si>
  <si>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</si>
  <si>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</si>
  <si>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</si>
  <si>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</si>
  <si>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</si>
  <si>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</si>
  <si>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</si>
  <si>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</si>
  <si>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</si>
  <si>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</si>
  <si>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</si>
  <si>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</si>
  <si>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</si>
  <si>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</si>
  <si>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</si>
  <si>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</si>
  <si>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</si>
  <si>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</si>
  <si>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</si>
  <si>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</si>
  <si>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</si>
  <si>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</si>
  <si>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</si>
  <si>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</si>
  <si>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</si>
  <si>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</si>
  <si>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</si>
  <si>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</si>
  <si>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</si>
  <si>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</si>
  <si>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</si>
  <si>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</si>
  <si>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</si>
  <si>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</si>
  <si>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</si>
  <si>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</si>
  <si>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</si>
  <si>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</si>
  <si>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</si>
  <si>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</si>
  <si>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</si>
  <si>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</si>
  <si>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</si>
  <si>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</si>
  <si>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</si>
  <si>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</si>
  <si>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</si>
  <si>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</si>
  <si>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</si>
  <si>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</si>
  <si>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</si>
  <si>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</si>
  <si>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</si>
  <si>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</si>
  <si>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</si>
  <si>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</si>
  <si>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</si>
  <si>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</si>
  <si>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</si>
  <si>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</si>
  <si>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</si>
  <si>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</si>
  <si>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</si>
  <si>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</si>
  <si>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</si>
  <si>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</si>
  <si>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</si>
  <si>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</si>
  <si>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</si>
  <si>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</si>
  <si>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</si>
  <si>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</si>
  <si>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</si>
  <si>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</si>
  <si>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</si>
  <si>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</si>
  <si>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</si>
  <si>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</si>
  <si>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</si>
  <si>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</si>
  <si>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</si>
  <si>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</si>
  <si>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</si>
  <si>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</si>
  <si>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</si>
  <si>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</si>
  <si>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</si>
  <si>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</si>
  <si>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</si>
  <si>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</si>
  <si>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</si>
  <si>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</si>
  <si>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</si>
  <si>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</si>
  <si>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</si>
  <si>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</si>
  <si>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</si>
  <si>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</si>
  <si>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</si>
  <si>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</si>
  <si>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</si>
  <si>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</si>
  <si>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</si>
  <si>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</si>
  <si>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</si>
  <si>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</si>
  <si>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</si>
  <si>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</si>
  <si>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</si>
  <si>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</si>
  <si>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</si>
  <si>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</si>
  <si>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</si>
  <si>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</si>
  <si>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</si>
  <si>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</si>
  <si>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</si>
  <si>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</si>
  <si>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</si>
  <si>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</si>
  <si>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</si>
  <si>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</si>
  <si>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</si>
  <si>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</si>
  <si>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</si>
  <si>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</si>
  <si>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</si>
  <si>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</si>
  <si>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</si>
  <si>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</si>
  <si>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</si>
  <si>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</si>
  <si>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</si>
  <si>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</si>
  <si>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</si>
  <si>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</si>
  <si>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</si>
  <si>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</si>
  <si>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</si>
  <si>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</si>
  <si>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</si>
  <si>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</si>
  <si>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</si>
  <si>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</si>
  <si>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</si>
  <si>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</si>
  <si>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</si>
  <si>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</si>
  <si>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</si>
  <si>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</si>
  <si>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</si>
  <si>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</si>
  <si>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</si>
  <si>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</si>
  <si>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</si>
  <si>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</si>
  <si>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</si>
  <si>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</si>
  <si>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</si>
  <si>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</si>
  <si>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</si>
  <si>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</si>
  <si>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</si>
  <si>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</si>
  <si>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</si>
  <si>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</si>
  <si>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</si>
  <si>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</si>
  <si>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</si>
  <si>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</si>
  <si>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</si>
  <si>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</si>
  <si>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</si>
  <si>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</si>
  <si>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</si>
  <si>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</si>
  <si>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</si>
  <si>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</si>
  <si>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</si>
  <si>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</si>
  <si>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</si>
  <si>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</si>
  <si>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</si>
  <si>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</si>
  <si>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</si>
  <si>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</si>
  <si>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</si>
  <si>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</si>
  <si>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</si>
  <si>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</si>
  <si>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</si>
  <si>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</si>
  <si>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</si>
  <si>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</si>
  <si>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</si>
  <si>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</si>
  <si>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</si>
  <si>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</si>
  <si>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</si>
  <si>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</si>
  <si>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</si>
  <si>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</si>
  <si>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</si>
  <si>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</si>
  <si>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</si>
  <si>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</si>
  <si>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</si>
  <si>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</si>
  <si>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</si>
  <si>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</si>
  <si>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</si>
  <si>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</si>
  <si>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</si>
  <si>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</si>
  <si>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</si>
  <si>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</si>
  <si>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</si>
  <si>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</si>
  <si>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</si>
  <si>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</si>
  <si>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</si>
  <si>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</si>
  <si>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</si>
  <si>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</si>
  <si>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</si>
  <si>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</si>
  <si>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</si>
  <si>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</si>
  <si>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</si>
  <si>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</si>
  <si>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</si>
  <si>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</si>
  <si>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</si>
  <si>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</si>
  <si>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</si>
  <si>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</si>
  <si>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</si>
  <si>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</si>
  <si>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</si>
  <si>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</si>
  <si>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</si>
  <si>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</si>
  <si>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</si>
  <si>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</si>
  <si>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</si>
  <si>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</si>
  <si>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</si>
  <si>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</si>
  <si>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</si>
  <si>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</si>
  <si>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</si>
  <si>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</si>
  <si>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</si>
  <si>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</si>
  <si>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</si>
  <si>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</si>
  <si>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</si>
  <si>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</si>
  <si>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</si>
  <si>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</si>
  <si>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</si>
  <si>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</si>
  <si>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</si>
  <si>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</si>
  <si>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</si>
  <si>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</si>
  <si>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</si>
  <si>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</si>
  <si>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</si>
  <si>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</si>
  <si>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</si>
  <si>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</si>
  <si>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</si>
  <si>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</si>
  <si>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</si>
  <si>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</si>
  <si>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</si>
  <si>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</si>
  <si>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</si>
  <si>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</si>
  <si>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</si>
  <si>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</si>
  <si>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</si>
  <si>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</si>
  <si>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</si>
  <si>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</si>
  <si>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</si>
  <si>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</si>
  <si>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</si>
  <si>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</si>
  <si>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</si>
  <si>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</si>
  <si>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</si>
  <si>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</si>
  <si>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</si>
  <si>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</si>
  <si>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</si>
  <si>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</si>
  <si>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</si>
  <si>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</si>
  <si>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</si>
  <si>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</si>
  <si>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</si>
  <si>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</si>
  <si>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</si>
  <si>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</si>
  <si>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</si>
  <si>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</si>
  <si>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</si>
  <si>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</si>
  <si>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</si>
  <si>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</si>
  <si>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</si>
  <si>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</si>
  <si>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</si>
  <si>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</si>
  <si>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</si>
  <si>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</si>
  <si>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</si>
  <si>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</si>
  <si>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</si>
  <si>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</si>
  <si>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</si>
  <si>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</si>
  <si>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</si>
  <si>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</si>
  <si>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</si>
  <si>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</si>
  <si>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</si>
  <si>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</si>
  <si>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</si>
  <si>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</si>
  <si>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</si>
  <si>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</si>
  <si>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</si>
  <si>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</si>
  <si>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</si>
  <si>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</si>
  <si>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</si>
  <si>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</si>
  <si>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</si>
  <si>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</si>
  <si>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</si>
  <si>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</si>
  <si>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</si>
  <si>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</si>
  <si>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</si>
  <si>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</si>
  <si>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</si>
  <si>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</si>
  <si>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</si>
  <si>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</si>
  <si>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</si>
  <si>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</si>
  <si>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</si>
  <si>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</si>
  <si>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</si>
  <si>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</si>
  <si>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</si>
  <si>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</si>
  <si>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</si>
  <si>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</si>
  <si>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</si>
  <si>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</si>
  <si>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</si>
  <si>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</si>
  <si>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</si>
  <si>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</si>
  <si>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</si>
  <si>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</si>
  <si>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</si>
  <si>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</si>
  <si>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</si>
  <si>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</si>
  <si>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</si>
  <si>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</si>
  <si>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</si>
  <si>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</si>
  <si>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</si>
  <si>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</si>
  <si>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PAIS VASCO</t>
  </si>
  <si>
    <t>Provincias</t>
  </si>
  <si>
    <t>BIZKAIA</t>
  </si>
  <si>
    <t>Resumenes por Partidos Judiciales</t>
  </si>
  <si>
    <t>GERNIKA-LUMO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</si>
</sst>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MINgO7Tfg25GtvtBRjcAKE6AHME80ge1yVfINZAG1QHkVvjSilBkUHo8Ye8GhHomiC0r5gIWxxG5TXC0APN/Jw==" saltValue="aVAfwKjoT4wtaGd54Ewx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PAIS VASCO</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24</v>
      </c>
      <c r="D10" s="225">
        <f>IF(ISNUMBER(Datos!I10),Datos!I10," - ")</f>
        <v>24</v>
      </c>
      <c r="E10" s="226">
        <f>IF(ISNUMBER(Datos!J10),Datos!J10," - ")</f>
        <v>5</v>
      </c>
      <c r="F10" s="226">
        <f>IF(ISNUMBER(Datos!K10),Datos!K10," - ")</f>
        <v>6</v>
      </c>
      <c r="G10" s="1034" t="str">
        <f>IF(Datos!E10&lt;&gt;"",Datos!E10,Datos!D10)</f>
        <v>37</v>
      </c>
      <c r="H10" s="227">
        <f>IF(ISNUMBER(Datos!L10),Datos!L10," - ")</f>
        <v>23</v>
      </c>
      <c r="I10" s="1044" t="str">
        <f>IF(ISNUMBER(Datos!AS10/Datos!BM10),Datos!AS10/Datos!BM10," - ")</f>
        <v xml:space="preserve"> - </v>
      </c>
      <c r="J10" s="1045">
        <f>IF(ISNUMBER(Datos!BY10/Datos!CN10),Datos!BY10/Datos!CN10," - ")</f>
        <v>0</v>
      </c>
      <c r="K10" s="230">
        <f t="shared" ref="K10:K12" si="1">IF(ISNUMBER((E10-F10)/C10),(E10-F10)/C10," - ")</f>
        <v>-4.1666666666666664E-2</v>
      </c>
      <c r="L10" s="1025">
        <f>IF(ISNUMBER(NºAsuntos!I10/NºAsuntos!G10),(NºAsuntos!I10/NºAsuntos!G10)*11," - ")</f>
        <v>42.166666666666671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20.686305732484076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24</v>
      </c>
      <c r="D13" s="1049">
        <f>SUBTOTAL(9,D9:D12)</f>
        <v>24</v>
      </c>
      <c r="E13" s="1050">
        <f>SUBTOTAL(9,E9:E12)</f>
        <v>5</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1007</v>
      </c>
      <c r="D16" s="225">
        <f>IF(ISNUMBER(IF(D_I="SI",Datos!I16,Datos!I16+Datos!AC16)),IF(D_I="SI",Datos!I16,Datos!I16+Datos!AC16)," - ")</f>
        <v>991</v>
      </c>
      <c r="E16" s="226">
        <f>IF(ISNUMBER(IF(D_I="SI",Datos!J16,Datos!J16+Datos!AD16)),IF(D_I="SI",Datos!J16,Datos!J16+Datos!AD16)," - ")</f>
        <v>584</v>
      </c>
      <c r="F16" s="226">
        <f>IF(ISNUMBER(IF(D_I="SI",Datos!K16,Datos!K16+Datos!AE16)),IF(D_I="SI",Datos!K16,Datos!K16+Datos!AE16)," - ")</f>
        <v>671</v>
      </c>
      <c r="G16" s="1034" t="str">
        <f>IF(Datos!E16&lt;&gt;"",Datos!E16,Datos!D16)</f>
        <v>04</v>
      </c>
      <c r="H16" s="227">
        <f>IF(ISNUMBER(IF(D_I="SI",Datos!L16,Datos!L16+Datos!AF16)),IF(D_I="SI",Datos!L16,Datos!L16+Datos!AF16)," - ")</f>
        <v>920</v>
      </c>
      <c r="I16" s="1044" t="str">
        <f>IF(ISNUMBER(Datos!AS16/Datos!BM16),Datos!AS16/Datos!BM16," - ")</f>
        <v xml:space="preserve"> - </v>
      </c>
      <c r="J16" s="1045">
        <f>IF(ISNUMBER(Datos!BY16/Datos!CN16),Datos!BY16/Datos!CN16," - ")</f>
        <v>0</v>
      </c>
      <c r="K16" s="230">
        <f t="shared" si="3"/>
        <v>-8.6395233366434954E-2</v>
      </c>
      <c r="L16" s="1025">
        <f>IF(ISNUMBER(NºAsuntos!I16/NºAsuntos!G16),(NºAsuntos!I16/NºAsuntos!G16)*11," - ")</f>
        <v>15.081967213114755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65</v>
      </c>
      <c r="D17" s="225">
        <f>IF(ISNUMBER(IF(D_I="SI",Datos!I17,Datos!I17+Datos!AC17)),IF(D_I="SI",Datos!I17,Datos!I17+Datos!AC17)," - ")</f>
        <v>65</v>
      </c>
      <c r="E17" s="226">
        <f>IF(ISNUMBER(IF(D_I="SI",Datos!J17,Datos!J17+Datos!AD17)),IF(D_I="SI",Datos!J17,Datos!J17+Datos!AD17)," - ")</f>
        <v>61</v>
      </c>
      <c r="F17" s="226">
        <f>IF(ISNUMBER(IF(D_I="SI",Datos!K17,Datos!K17+Datos!AE17)),IF(D_I="SI",Datos!K17,Datos!K17+Datos!AE17)," - ")</f>
        <v>52</v>
      </c>
      <c r="G17" s="1034" t="str">
        <f>IF(Datos!E17&lt;&gt;"",Datos!E17,Datos!D17)</f>
        <v>37</v>
      </c>
      <c r="H17" s="227">
        <f>IF(ISNUMBER(IF(D_I="SI",Datos!L17,Datos!L17+Datos!AF17)),IF(D_I="SI",Datos!L17,Datos!L17+Datos!AF17)," - ")</f>
        <v>74</v>
      </c>
      <c r="I17" s="1044" t="str">
        <f>IF(ISNUMBER(Datos!AS17/Datos!BM17),Datos!AS17/Datos!BM17," - ")</f>
        <v xml:space="preserve"> - </v>
      </c>
      <c r="J17" s="1045" t="str">
        <f>IF(ISNUMBER((Datos!BY17+Datos!BZ17)/Datos!CN17),(Datos!BY17+Datos!BZ17)/Datos!CN17," - ")</f>
        <v xml:space="preserve"> - </v>
      </c>
      <c r="K17" s="230">
        <f t="shared" si="3"/>
        <v>0.13846153846153847</v>
      </c>
      <c r="L17" s="1025">
        <f>IF(ISNUMBER(NºAsuntos!I17/NºAsuntos!G17),(NºAsuntos!I17/NºAsuntos!G17)*11," - ")</f>
        <v>15.653846153846155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1072</v>
      </c>
      <c r="D18" s="1049">
        <f>SUBTOTAL(9,D15:D17)</f>
        <v>1056</v>
      </c>
      <c r="E18" s="1050">
        <f>SUBTOTAL(9,E15:E17)</f>
        <v>645</v>
      </c>
      <c r="F18" s="1050">
        <f>SUBTOTAL(9,F15:F17)</f>
        <v>723</v>
      </c>
      <c r="G18" s="1052" t="str">
        <f ca="1">INDIRECT(CONCATENATE("G",ROW()-1))</f>
        <v>37</v>
      </c>
      <c r="H18" s="1053">
        <f ca="1">SUMIF(G$14:G17,G18,H$14:H17)</f>
        <v>74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1096</v>
      </c>
      <c r="D19" s="1071">
        <f>SUBTOTAL(9,D9:D18)</f>
        <v>1080</v>
      </c>
      <c r="E19" s="1072">
        <f>SUBTOTAL(9,E9:E18)</f>
        <v>650</v>
      </c>
      <c r="F19" s="1072">
        <f>SUBTOTAL(9,F9:F18)</f>
        <v>729</v>
      </c>
      <c r="G19" s="1073"/>
      <c r="H19" s="1074">
        <f ca="1">SUMIF(B9:B18,"TOTAL",H9:H18)</f>
        <v>74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4+w10RjDirYowp6YwDkhsXi3qnVk9upNU1MCBj6eZwBredo9ctD+GtfCVscJJsT8Kr4j35x6JrbH8kPBbUZ0Kg==" saltValue="s5nBB0Lyv8lWQwQRfnYP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np+ZA2Q6d2FFC3df4rBa/VLMADPoAbWr/89hDyFPNVz02nrU5KuDT2wgH3TAbweh4bLBtCTl/wcJTyD18x1UA==" saltValue="8fwA55bxGe1SC6zl/yUl3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24</v>
      </c>
      <c r="J10" s="181">
        <v>5</v>
      </c>
      <c r="K10" s="181">
        <v>6</v>
      </c>
      <c r="L10" s="181">
        <v>23</v>
      </c>
      <c r="M10" s="181">
        <v>3</v>
      </c>
      <c r="N10" s="181">
        <v>3</v>
      </c>
      <c r="O10" s="181">
        <v>0</v>
      </c>
      <c r="P10" s="181">
        <v>1</v>
      </c>
      <c r="Q10" s="181">
        <v>7</v>
      </c>
      <c r="R10" s="181">
        <v>5</v>
      </c>
      <c r="S10" s="181">
        <v>32</v>
      </c>
      <c r="T10" s="181">
        <v>5</v>
      </c>
      <c r="U10" s="181">
        <v>2</v>
      </c>
      <c r="V10" s="181">
        <v>35</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32</v>
      </c>
      <c r="AZ10" s="129">
        <f t="shared" si="0"/>
        <v>5</v>
      </c>
      <c r="BA10" s="129">
        <f t="shared" si="0"/>
        <v>2</v>
      </c>
      <c r="BB10" s="129">
        <f t="shared" si="0"/>
        <v>35</v>
      </c>
      <c r="BC10" s="125">
        <f t="shared" si="0"/>
        <v>2</v>
      </c>
      <c r="BD10" s="126">
        <f>IF(ISNUMBER(BA10/AZ10),BA10/AZ10," - ")</f>
        <v>0.4</v>
      </c>
      <c r="BE10" s="127">
        <f>IF(ISNUMBER(BB10/BA10),BB10/BA10, " - ")</f>
        <v>17.5</v>
      </c>
      <c r="BF10" s="127">
        <f>IF(ISNUMBER(BC10/BA10),BC10/BA10, " - ")</f>
        <v>1</v>
      </c>
      <c r="BG10" s="196">
        <f>IF(ISNUMBER((AY10+AZ10)/BA10),(AY10+AZ10)/BA10," - ")</f>
        <v>18.5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1049</v>
      </c>
      <c r="J12" s="183">
        <v>532</v>
      </c>
      <c r="K12" s="183">
        <v>566</v>
      </c>
      <c r="L12" s="183">
        <v>1015</v>
      </c>
      <c r="M12" s="183">
        <v>154</v>
      </c>
      <c r="N12" s="183">
        <v>301</v>
      </c>
      <c r="O12" s="181">
        <v>166</v>
      </c>
      <c r="P12" s="183">
        <v>97</v>
      </c>
      <c r="Q12" s="183">
        <v>106</v>
      </c>
      <c r="R12" s="183">
        <v>1739</v>
      </c>
      <c r="S12" s="183">
        <v>948</v>
      </c>
      <c r="T12" s="183">
        <v>568</v>
      </c>
      <c r="U12" s="183">
        <v>517</v>
      </c>
      <c r="V12" s="183">
        <v>999</v>
      </c>
      <c r="W12" s="183">
        <v>142</v>
      </c>
      <c r="X12" s="189">
        <v>237</v>
      </c>
      <c r="Y12" s="191">
        <v>159</v>
      </c>
      <c r="Z12" s="181">
        <v>69</v>
      </c>
      <c r="AA12" s="181">
        <v>62</v>
      </c>
      <c r="AB12" s="181">
        <v>166</v>
      </c>
      <c r="AC12" s="183">
        <v>0</v>
      </c>
      <c r="AD12" s="183">
        <v>0</v>
      </c>
      <c r="AE12" s="183">
        <v>0</v>
      </c>
      <c r="AF12" s="189">
        <v>0</v>
      </c>
      <c r="AG12" s="202">
        <v>196</v>
      </c>
      <c r="AH12" s="183">
        <v>64</v>
      </c>
      <c r="AI12" s="183">
        <v>60</v>
      </c>
      <c r="AJ12" s="203">
        <v>200</v>
      </c>
      <c r="AK12" s="182">
        <v>0</v>
      </c>
      <c r="AL12" s="183">
        <v>0</v>
      </c>
      <c r="AM12" s="183">
        <v>0</v>
      </c>
      <c r="AN12" s="189">
        <v>0</v>
      </c>
      <c r="AO12" s="259">
        <v>4</v>
      </c>
      <c r="AP12" s="155">
        <v>4</v>
      </c>
      <c r="AQ12" s="155">
        <v>4</v>
      </c>
      <c r="AR12" s="154">
        <v>4</v>
      </c>
      <c r="AS12" s="340" t="s">
        <v>802</v>
      </c>
      <c r="AT12" s="203"/>
      <c r="AU12" s="202"/>
      <c r="AV12" s="203"/>
      <c r="AW12" s="202"/>
      <c r="AX12" s="203"/>
      <c r="AY12" s="126">
        <f t="shared" si="1"/>
        <v>1144</v>
      </c>
      <c r="AZ12" s="127">
        <f t="shared" si="1"/>
        <v>632</v>
      </c>
      <c r="BA12" s="127">
        <f t="shared" si="1"/>
        <v>577</v>
      </c>
      <c r="BB12" s="127">
        <f t="shared" si="1"/>
        <v>1199</v>
      </c>
      <c r="BC12" s="125">
        <f>IF(ISNUMBER(X12),X12," - ")</f>
        <v>237</v>
      </c>
      <c r="BD12" s="126">
        <f t="shared" si="2"/>
        <v>0.91297468354430378</v>
      </c>
      <c r="BE12" s="127">
        <f t="shared" si="3"/>
        <v>2.0779896013864816</v>
      </c>
      <c r="BF12" s="127">
        <f t="shared" si="4"/>
        <v>0.41074523396880414</v>
      </c>
      <c r="BG12" s="196">
        <f t="shared" si="5"/>
        <v>3.0779896013864816</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1073</v>
      </c>
      <c r="J13" s="184">
        <f t="shared" si="6"/>
        <v>537</v>
      </c>
      <c r="K13" s="184">
        <f t="shared" si="6"/>
        <v>572</v>
      </c>
      <c r="L13" s="184">
        <f t="shared" si="6"/>
        <v>1038</v>
      </c>
      <c r="M13" s="184">
        <f t="shared" si="6"/>
        <v>157</v>
      </c>
      <c r="N13" s="184">
        <f t="shared" si="6"/>
        <v>304</v>
      </c>
      <c r="O13" s="184">
        <f t="shared" si="6"/>
        <v>166</v>
      </c>
      <c r="P13" s="184">
        <f t="shared" si="6"/>
        <v>98</v>
      </c>
      <c r="Q13" s="184">
        <f t="shared" si="6"/>
        <v>113</v>
      </c>
      <c r="R13" s="184">
        <f t="shared" si="6"/>
        <v>1744</v>
      </c>
      <c r="S13" s="184">
        <f t="shared" si="6"/>
        <v>980</v>
      </c>
      <c r="T13" s="184">
        <f t="shared" si="6"/>
        <v>573</v>
      </c>
      <c r="U13" s="184">
        <f t="shared" si="6"/>
        <v>519</v>
      </c>
      <c r="V13" s="184">
        <f t="shared" si="6"/>
        <v>1034</v>
      </c>
      <c r="W13" s="184">
        <f t="shared" si="6"/>
        <v>144</v>
      </c>
      <c r="X13" s="184">
        <f t="shared" si="6"/>
        <v>237</v>
      </c>
      <c r="Y13" s="184">
        <f t="shared" si="6"/>
        <v>159</v>
      </c>
      <c r="Z13" s="184">
        <f t="shared" si="6"/>
        <v>69</v>
      </c>
      <c r="AA13" s="184">
        <f t="shared" si="6"/>
        <v>62</v>
      </c>
      <c r="AB13" s="184">
        <f t="shared" si="6"/>
        <v>166</v>
      </c>
      <c r="AC13" s="184">
        <f t="shared" si="6"/>
        <v>0</v>
      </c>
      <c r="AD13" s="184">
        <f t="shared" si="6"/>
        <v>0</v>
      </c>
      <c r="AE13" s="184">
        <f t="shared" si="6"/>
        <v>0</v>
      </c>
      <c r="AF13" s="184">
        <f>SUBTOTAL(9,AF9:AF12)</f>
        <v>0</v>
      </c>
      <c r="AG13" s="184">
        <f t="shared" ref="AG13:AT13" si="7">SUBTOTAL(9,AG8:AG12)</f>
        <v>196</v>
      </c>
      <c r="AH13" s="184">
        <f t="shared" si="7"/>
        <v>64</v>
      </c>
      <c r="AI13" s="184">
        <f t="shared" si="7"/>
        <v>60</v>
      </c>
      <c r="AJ13" s="184">
        <f t="shared" si="7"/>
        <v>200</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1176</v>
      </c>
      <c r="AZ13" s="184">
        <f>SUBTOTAL(9,AZ8:AZ12)</f>
        <v>637</v>
      </c>
      <c r="BA13" s="184">
        <f>SUBTOTAL(9,BA8:BA12)</f>
        <v>579</v>
      </c>
      <c r="BB13" s="184">
        <f>SUBTOTAL(9,BB8:BB12)</f>
        <v>1234</v>
      </c>
      <c r="BC13" s="184">
        <f>SUBTOTAL(9,BC8:BC12)</f>
        <v>239</v>
      </c>
      <c r="BD13" s="205">
        <f>IF(ISNUMBER(BA13/AZ13),BA13/AZ13," - ")</f>
        <v>0.90894819466248034</v>
      </c>
      <c r="BE13" s="206">
        <f>IF(ISNUMBER(BB13/BA13),BB13/BA13, " - ")</f>
        <v>2.1312607944732296</v>
      </c>
      <c r="BF13" s="206">
        <f>IF(ISNUMBER(BC13/BA13),BC13/BA13, " - ")</f>
        <v>0.41278065630397237</v>
      </c>
      <c r="BG13" s="207">
        <f>IF(ISNUMBER((AY13+AZ13)/BA13),(AY13+AZ13)/BA13," - ")</f>
        <v>3.1312607944732296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991</v>
      </c>
      <c r="J16" s="183">
        <v>584</v>
      </c>
      <c r="K16" s="183">
        <v>671</v>
      </c>
      <c r="L16" s="183">
        <v>920</v>
      </c>
      <c r="M16" s="183">
        <v>176</v>
      </c>
      <c r="N16" s="183">
        <v>266</v>
      </c>
      <c r="O16" s="181">
        <v>0</v>
      </c>
      <c r="P16" s="183">
        <v>19</v>
      </c>
      <c r="Q16" s="183">
        <v>17</v>
      </c>
      <c r="R16" s="183">
        <v>267</v>
      </c>
      <c r="S16" s="183">
        <v>1040</v>
      </c>
      <c r="T16" s="183">
        <v>462</v>
      </c>
      <c r="U16" s="183">
        <v>441</v>
      </c>
      <c r="V16" s="183">
        <v>1066</v>
      </c>
      <c r="W16" s="183">
        <v>105</v>
      </c>
      <c r="X16" s="189">
        <v>212</v>
      </c>
      <c r="Y16" s="202">
        <v>0</v>
      </c>
      <c r="Z16" s="183">
        <v>0</v>
      </c>
      <c r="AA16" s="183">
        <v>0</v>
      </c>
      <c r="AB16" s="183">
        <v>0</v>
      </c>
      <c r="AC16" s="183">
        <v>0</v>
      </c>
      <c r="AD16" s="183">
        <v>0</v>
      </c>
      <c r="AE16" s="183">
        <v>0</v>
      </c>
      <c r="AF16" s="189">
        <v>0</v>
      </c>
      <c r="AG16" s="202">
        <v>0</v>
      </c>
      <c r="AH16" s="183">
        <v>0</v>
      </c>
      <c r="AI16" s="183">
        <v>0</v>
      </c>
      <c r="AJ16" s="203">
        <v>0</v>
      </c>
      <c r="AK16" s="182">
        <v>2</v>
      </c>
      <c r="AL16" s="183">
        <v>0</v>
      </c>
      <c r="AM16" s="183">
        <v>2</v>
      </c>
      <c r="AN16" s="189">
        <v>0</v>
      </c>
      <c r="AO16" s="259">
        <v>4</v>
      </c>
      <c r="AP16" s="155">
        <v>4</v>
      </c>
      <c r="AQ16" s="155">
        <v>4</v>
      </c>
      <c r="AR16" s="155">
        <v>4</v>
      </c>
      <c r="AS16" s="340" t="s">
        <v>487</v>
      </c>
      <c r="AT16" s="203"/>
      <c r="AU16" s="202"/>
      <c r="AV16" s="203"/>
      <c r="AW16" s="202"/>
      <c r="AX16" s="203"/>
      <c r="AY16" s="126">
        <f t="shared" si="9"/>
        <v>1040</v>
      </c>
      <c r="AZ16" s="127">
        <f t="shared" si="9"/>
        <v>462</v>
      </c>
      <c r="BA16" s="127">
        <f t="shared" si="9"/>
        <v>441</v>
      </c>
      <c r="BB16" s="127">
        <f t="shared" si="9"/>
        <v>1066</v>
      </c>
      <c r="BC16" s="125">
        <f>IF(ISNUMBER(W16),W16," - ")</f>
        <v>105</v>
      </c>
      <c r="BD16" s="126">
        <f t="shared" ref="BD16" si="11">IF(ISNUMBER(BA16/AZ16),BA16/AZ16," - ")</f>
        <v>0.95454545454545459</v>
      </c>
      <c r="BE16" s="127">
        <f t="shared" ref="BE16" si="12">IF(ISNUMBER(BB16/BA16),BB16/BA16, " - ")</f>
        <v>2.4172335600907031</v>
      </c>
      <c r="BF16" s="127">
        <f t="shared" ref="BF16" si="13">IF(ISNUMBER(BC16/BA16),BC16/BA16, " - ")</f>
        <v>0.23809523809523808</v>
      </c>
      <c r="BG16" s="196">
        <f t="shared" si="10"/>
        <v>3.4058956916099774</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65</v>
      </c>
      <c r="J17" s="183">
        <v>61</v>
      </c>
      <c r="K17" s="183">
        <v>52</v>
      </c>
      <c r="L17" s="183">
        <v>74</v>
      </c>
      <c r="M17" s="183">
        <v>16</v>
      </c>
      <c r="N17" s="183">
        <v>20</v>
      </c>
      <c r="O17" s="183">
        <v>0</v>
      </c>
      <c r="P17" s="183">
        <v>0</v>
      </c>
      <c r="Q17" s="183">
        <v>0</v>
      </c>
      <c r="R17" s="183">
        <v>6</v>
      </c>
      <c r="S17" s="183">
        <v>113</v>
      </c>
      <c r="T17" s="183">
        <v>49</v>
      </c>
      <c r="U17" s="183">
        <v>52</v>
      </c>
      <c r="V17" s="183">
        <v>110</v>
      </c>
      <c r="W17" s="183">
        <v>7</v>
      </c>
      <c r="X17" s="189">
        <v>33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113</v>
      </c>
      <c r="AZ17" s="129">
        <f t="shared" si="14"/>
        <v>49</v>
      </c>
      <c r="BA17" s="129">
        <f t="shared" si="14"/>
        <v>52</v>
      </c>
      <c r="BB17" s="129">
        <f t="shared" si="14"/>
        <v>110</v>
      </c>
      <c r="BC17" s="125">
        <f>IF(ISNUMBER(W17),W17," - ")</f>
        <v>7</v>
      </c>
      <c r="BD17" s="126">
        <f>IF(ISNUMBER(BA17/AZ17),BA17/AZ17," - ")</f>
        <v>1.0612244897959184</v>
      </c>
      <c r="BE17" s="127">
        <f>IF(ISNUMBER(BB17/BA17),BB17/BA17, " - ")</f>
        <v>2.1153846153846154</v>
      </c>
      <c r="BF17" s="127">
        <f>IF(ISNUMBER(BC17/BA17),BC17/BA17, " - ")</f>
        <v>0.13461538461538461</v>
      </c>
      <c r="BG17" s="196">
        <f>IF(ISNUMBER((AY17+AZ17)/BA17),(AY17+AZ17)/BA17," - ")</f>
        <v>3.1153846153846154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1056</v>
      </c>
      <c r="J18" s="184">
        <f t="shared" si="15"/>
        <v>645</v>
      </c>
      <c r="K18" s="184">
        <f t="shared" si="15"/>
        <v>723</v>
      </c>
      <c r="L18" s="184">
        <f t="shared" si="15"/>
        <v>994</v>
      </c>
      <c r="M18" s="184">
        <f t="shared" si="15"/>
        <v>192</v>
      </c>
      <c r="N18" s="184">
        <f t="shared" si="15"/>
        <v>286</v>
      </c>
      <c r="O18" s="184">
        <f t="shared" si="15"/>
        <v>0</v>
      </c>
      <c r="P18" s="184">
        <f t="shared" si="15"/>
        <v>19</v>
      </c>
      <c r="Q18" s="184">
        <f t="shared" si="15"/>
        <v>17</v>
      </c>
      <c r="R18" s="184">
        <f t="shared" si="15"/>
        <v>273</v>
      </c>
      <c r="S18" s="184">
        <f t="shared" si="15"/>
        <v>1153</v>
      </c>
      <c r="T18" s="184">
        <f t="shared" si="15"/>
        <v>511</v>
      </c>
      <c r="U18" s="184">
        <f t="shared" si="15"/>
        <v>493</v>
      </c>
      <c r="V18" s="184">
        <f t="shared" si="15"/>
        <v>1176</v>
      </c>
      <c r="W18" s="184">
        <f t="shared" si="15"/>
        <v>112</v>
      </c>
      <c r="X18" s="184">
        <f t="shared" si="15"/>
        <v>245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2</v>
      </c>
      <c r="AL18" s="184">
        <f t="shared" si="15"/>
        <v>0</v>
      </c>
      <c r="AM18" s="184">
        <f t="shared" si="15"/>
        <v>2</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1153</v>
      </c>
      <c r="AZ18" s="184">
        <f>SUBTOTAL(9,AZ14:AZ17)</f>
        <v>511</v>
      </c>
      <c r="BA18" s="184">
        <f>SUBTOTAL(9,BA14:BA17)</f>
        <v>493</v>
      </c>
      <c r="BB18" s="184">
        <f>SUBTOTAL(9,BB14:BB17)</f>
        <v>1176</v>
      </c>
      <c r="BC18" s="184">
        <f>SUBTOTAL(9,BC14:BC17)</f>
        <v>112</v>
      </c>
      <c r="BD18" s="205">
        <f>IF(ISNUMBER(BA18/AZ18),BA18/AZ18," - ")</f>
        <v>0.96477495107632094</v>
      </c>
      <c r="BE18" s="206">
        <f>IF(ISNUMBER(BB18/BA18),BB18/BA18, " - ")</f>
        <v>2.3853955375253548</v>
      </c>
      <c r="BF18" s="206">
        <f>IF(ISNUMBER(BC18/BA18),BC18/BA18, " - ")</f>
        <v>0.22718052738336714</v>
      </c>
      <c r="BG18" s="207">
        <f>IF(ISNUMBER((AY18+AZ18)/BA18),(AY18+AZ18)/BA18," - ")</f>
        <v>3.3752535496957403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2129</v>
      </c>
      <c r="J19" s="134">
        <f t="shared" si="18"/>
        <v>1182</v>
      </c>
      <c r="K19" s="134">
        <f t="shared" si="18"/>
        <v>1295</v>
      </c>
      <c r="L19" s="134">
        <f t="shared" si="18"/>
        <v>2032</v>
      </c>
      <c r="M19" s="134">
        <f t="shared" si="18"/>
        <v>349</v>
      </c>
      <c r="N19" s="134">
        <f t="shared" si="18"/>
        <v>590</v>
      </c>
      <c r="O19" s="134">
        <f t="shared" si="18"/>
        <v>166</v>
      </c>
      <c r="P19" s="134">
        <f t="shared" si="18"/>
        <v>117</v>
      </c>
      <c r="Q19" s="134">
        <f t="shared" si="18"/>
        <v>130</v>
      </c>
      <c r="R19" s="134">
        <f t="shared" si="18"/>
        <v>2017</v>
      </c>
      <c r="S19" s="134">
        <f t="shared" si="18"/>
        <v>2133</v>
      </c>
      <c r="T19" s="134">
        <f t="shared" si="18"/>
        <v>1084</v>
      </c>
      <c r="U19" s="134">
        <f t="shared" si="18"/>
        <v>1012</v>
      </c>
      <c r="V19" s="134">
        <f t="shared" si="18"/>
        <v>2210</v>
      </c>
      <c r="W19" s="134">
        <f t="shared" si="18"/>
        <v>256</v>
      </c>
      <c r="X19" s="134">
        <f t="shared" si="18"/>
        <v>482</v>
      </c>
      <c r="Y19" s="134">
        <f t="shared" si="18"/>
        <v>159</v>
      </c>
      <c r="Z19" s="134">
        <f t="shared" si="18"/>
        <v>69</v>
      </c>
      <c r="AA19" s="134">
        <f t="shared" si="18"/>
        <v>62</v>
      </c>
      <c r="AB19" s="134">
        <f t="shared" si="18"/>
        <v>166</v>
      </c>
      <c r="AC19" s="134">
        <f t="shared" si="18"/>
        <v>0</v>
      </c>
      <c r="AD19" s="134">
        <f t="shared" si="18"/>
        <v>0</v>
      </c>
      <c r="AE19" s="134">
        <f t="shared" si="18"/>
        <v>0</v>
      </c>
      <c r="AF19" s="134">
        <f t="shared" si="18"/>
        <v>0</v>
      </c>
      <c r="AG19" s="134">
        <f t="shared" si="18"/>
        <v>196</v>
      </c>
      <c r="AH19" s="134">
        <f t="shared" si="18"/>
        <v>64</v>
      </c>
      <c r="AI19" s="134">
        <f t="shared" si="18"/>
        <v>60</v>
      </c>
      <c r="AJ19" s="134">
        <f t="shared" si="18"/>
        <v>200</v>
      </c>
      <c r="AK19" s="134">
        <f t="shared" si="18"/>
        <v>2</v>
      </c>
      <c r="AL19" s="134">
        <f t="shared" si="18"/>
        <v>0</v>
      </c>
      <c r="AM19" s="134">
        <f t="shared" si="18"/>
        <v>2</v>
      </c>
      <c r="AN19" s="210">
        <f t="shared" si="18"/>
        <v>0</v>
      </c>
      <c r="AO19" s="211">
        <v>5</v>
      </c>
      <c r="AP19" s="211">
        <v>4</v>
      </c>
      <c r="AQ19" s="211">
        <v>4</v>
      </c>
      <c r="AR19" s="211">
        <v>4</v>
      </c>
      <c r="AS19" s="153">
        <f t="shared" si="18"/>
        <v>0</v>
      </c>
      <c r="AT19" s="153">
        <f t="shared" si="18"/>
        <v>0</v>
      </c>
      <c r="AU19" s="211"/>
      <c r="AV19" s="212"/>
      <c r="AW19" s="211"/>
      <c r="AX19" s="212"/>
      <c r="AY19" s="133">
        <f>SUBTOTAL(9,AY9:AY18)</f>
        <v>2329</v>
      </c>
      <c r="AZ19" s="134">
        <f>SUBTOTAL(9,AZ9:AZ18)</f>
        <v>1148</v>
      </c>
      <c r="BA19" s="134">
        <f>SUBTOTAL(9,BA9:BA18)</f>
        <v>1072</v>
      </c>
      <c r="BB19" s="134">
        <f>SUBTOTAL(9,BB9:BB18)</f>
        <v>2410</v>
      </c>
      <c r="BC19" s="135">
        <f>SUBTOTAL(9,BC9:BC18)</f>
        <v>351</v>
      </c>
      <c r="BD19" s="213">
        <f>IF(ISNUMBER(BA19/AZ19),BA19/AZ19," - ")</f>
        <v>0.93379790940766549</v>
      </c>
      <c r="BE19" s="210">
        <f>IF(ISNUMBER(BB19/BA19),BB19/BA19, " - ")</f>
        <v>2.2481343283582089</v>
      </c>
      <c r="BF19" s="210">
        <f>IF(ISNUMBER(BC19/BA19),BC19/BA19, " - ")</f>
        <v>0.32742537313432835</v>
      </c>
      <c r="BG19" s="135">
        <f>IF(ISNUMBER((AY19+AZ19)/BA19),(AY19+AZ19)/BA19," - ")</f>
        <v>3.2434701492537314</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BgYBhSGYmUnvHAgToKmxTZS7ourPmCuJRDirKQwz1Iu6BT/VRdoSvI1wdFhbk0ND2b1xcPJ+iM9I0d7+VE6nw==" saltValue="9+owx7H4O8PSouGSj5ebG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VMxI6Nmc7g45nkZSIrpqcww/X1V/aW3MIGS2nHvZdWmnsk7gvhNrNKUT0eZ2thgS2Yo1m+Uw1l/h488rBJA7Q==" saltValue="eFBMKHWDhZntLmdgnizCJ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GERNIKA-LUMO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24</v>
      </c>
      <c r="G10" s="333">
        <f>IF(ISNUMBER(Datos!I10),Datos!I10," - ")</f>
        <v>24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7</v>
      </c>
      <c r="AD10" s="334"/>
      <c r="AE10" s="484"/>
      <c r="AF10" s="332">
        <f>IF(ISNUMBER(Datos!L10),Datos!L10,"-")</f>
        <v>23</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3</v>
      </c>
      <c r="BE10" s="229" t="str">
        <f>IF(ISNUMBER(Datos!BW10),Datos!BW10," - ")</f>
        <v xml:space="preserve"> - </v>
      </c>
      <c r="BF10" s="228" t="str">
        <f>IF(ISNUMBER(Datos!BX10),Datos!BX10," - ")</f>
        <v xml:space="preserve"> - </v>
      </c>
      <c r="BG10" s="243">
        <f>IF(ISNUMBER(Datos!K10/Datos!J10),Datos!K10/Datos!J10," - ")</f>
        <v>1.2</v>
      </c>
      <c r="BH10" s="260">
        <f>IF(ISNUMBER(((Datos!L10/Datos!K10)*11)/factor_trimestre),((Datos!L10/Datos!K10)*11)/factor_trimestre," - ")</f>
        <v>11.500000000000002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-0.54545454545454541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69</v>
      </c>
      <c r="O12" s="334"/>
      <c r="P12" s="334"/>
      <c r="Q12" s="226">
        <f>IF(ISNUMBER(Datos!P12),Datos!P12,0)</f>
        <v>97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106</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166</v>
      </c>
      <c r="AI12" s="334" t="str">
        <f>IF(ISNUMBER(Datos!CD12),Datos!CD12,"-")</f>
        <v>-</v>
      </c>
      <c r="AJ12" s="334" t="str">
        <f>IF(ISNUMBER(Datos!EN12),Datos!EN12," - ")</f>
        <v xml:space="preserve"> - </v>
      </c>
      <c r="AK12" s="334"/>
      <c r="AL12" s="479"/>
      <c r="AM12" s="335">
        <f>IF(ISNUMBER(Datos!R12),Datos!R12," - ")</f>
        <v>1739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154</v>
      </c>
      <c r="BD12" s="229">
        <f>IF(ISNUMBER(Datos!N12),Datos!N12," - ")</f>
        <v>301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1.0449251247920133</v>
      </c>
      <c r="BH12" s="260">
        <f>IF(ISNUMBER(((IF(J_V="SI",Datos!L12/Datos!K12,(Datos!L12+Datos!AB12)/(Datos!K12+Datos!AA12)))*11)/factor_trimestre),((IF(J_V="SI",Datos!L12/Datos!K12,(Datos!L12+Datos!AB12)/(Datos!K12+Datos!AA12)))*11)/factor_trimestre," - ")</f>
        <v>5.6417197452229297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-5.148741418764302E-3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24</v>
      </c>
      <c r="G13" s="898">
        <f t="shared" si="0"/>
        <v>24</v>
      </c>
      <c r="H13" s="899">
        <f t="shared" si="0"/>
        <v>0</v>
      </c>
      <c r="I13" s="898">
        <f t="shared" si="0"/>
        <v>0</v>
      </c>
      <c r="J13" s="867">
        <f t="shared" si="0"/>
        <v>0</v>
      </c>
      <c r="K13" s="867">
        <f t="shared" si="0"/>
        <v>0</v>
      </c>
      <c r="L13" s="899">
        <f t="shared" si="0"/>
        <v>0</v>
      </c>
      <c r="M13" s="899">
        <f t="shared" si="0"/>
        <v>0</v>
      </c>
      <c r="N13" s="899">
        <f t="shared" si="0"/>
        <v>69</v>
      </c>
      <c r="O13" s="900">
        <f t="shared" si="0"/>
        <v>0</v>
      </c>
      <c r="P13" s="900">
        <f t="shared" si="0"/>
        <v>0</v>
      </c>
      <c r="Q13" s="899">
        <f t="shared" si="0"/>
        <v>98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113</v>
      </c>
      <c r="AD13" s="899">
        <f t="shared" si="1"/>
        <v>0</v>
      </c>
      <c r="AE13" s="899">
        <f t="shared" si="1"/>
        <v>0</v>
      </c>
      <c r="AF13" s="899">
        <f t="shared" si="1"/>
        <v>23</v>
      </c>
      <c r="AG13" s="899">
        <f t="shared" si="1"/>
        <v>0</v>
      </c>
      <c r="AH13" s="899">
        <f t="shared" si="1"/>
        <v>166</v>
      </c>
      <c r="AI13" s="899">
        <f t="shared" si="1"/>
        <v>0</v>
      </c>
      <c r="AJ13" s="899">
        <f t="shared" si="1"/>
        <v>0</v>
      </c>
      <c r="AK13" s="899">
        <f t="shared" si="1"/>
        <v>0</v>
      </c>
      <c r="AL13" s="899">
        <f t="shared" si="1"/>
        <v>0</v>
      </c>
      <c r="AM13" s="899">
        <f t="shared" si="1"/>
        <v>1744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157</v>
      </c>
      <c r="BD13" s="899">
        <f t="shared" si="1"/>
        <v>304</v>
      </c>
      <c r="BE13" s="899">
        <f t="shared" si="1"/>
        <v>0</v>
      </c>
      <c r="BF13" s="899">
        <f t="shared" si="1"/>
        <v>0</v>
      </c>
      <c r="BG13" s="899">
        <f>IF(ISNUMBER(Datos!K13/Datos!J13),Datos!K13/Datos!J13," - ")</f>
        <v>1.0651769087523277</v>
      </c>
      <c r="BH13" s="903">
        <f>IF(ISNUMBER(((Datos!L13/Datos!K13)*11)/factor_trimestre),((Datos!L13/Datos!K13)*11)/factor_trimestre," - ")</f>
        <v>5.4440559440559442</v>
      </c>
      <c r="BI13" s="899">
        <f>IF(ISNUMBER('Resol  Asuntos'!D13/NºAsuntos!G13),'Resol  Asuntos'!D13/NºAsuntos!G13," - ")</f>
        <v>0.2476340694006309</v>
      </c>
      <c r="BJ13" s="899" t="str">
        <f>IF(ISNUMBER(Datos!CI13/Datos!CJ13),Datos!CI13/Datos!CJ13," - ")</f>
        <v xml:space="preserve"> - </v>
      </c>
      <c r="BK13" s="899">
        <f>SUBTOTAL(9,BK8:BK12)</f>
        <v>0</v>
      </c>
      <c r="BL13" s="899">
        <f>IF(ISNUMBER((I13-AB13+L13)/(F13)),(I13-AB13+L13)/(F13)," - ")</f>
        <v>-0.25</v>
      </c>
      <c r="BM13" s="904">
        <f>SUBTOTAL(9,BM9:BM12)</f>
        <v>-0.55060328687330973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1007</v>
      </c>
      <c r="G16" s="598">
        <f>IF(ISNUMBER(IF(D_I="SI",Datos!I16,Datos!I16+Datos!AC16)),IF(D_I="SI",Datos!I16,Datos!I16+Datos!AC16)," - ")</f>
        <v>991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671</v>
      </c>
      <c r="AC16" s="226">
        <f>IF(ISNUMBER(Datos!Q16),Datos!Q16," - ")</f>
        <v>17</v>
      </c>
      <c r="AD16" s="334"/>
      <c r="AE16" s="484"/>
      <c r="AF16" s="596">
        <f>IF(ISNUMBER(IF(D_I="SI",Datos!L16,Datos!L16+Datos!AF16)),IF(D_I="SI",Datos!L16,Datos!L16+Datos!AF16)," - ")</f>
        <v>920</v>
      </c>
      <c r="AG16" s="334"/>
      <c r="AH16" s="334"/>
      <c r="AI16" s="334"/>
      <c r="AJ16" s="334"/>
      <c r="AK16" s="334"/>
      <c r="AL16" s="479"/>
      <c r="AM16" s="335">
        <f>IF(ISNUMBER(Datos!R16),Datos!R16," - ")</f>
        <v>267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176</v>
      </c>
      <c r="BD16" s="229">
        <f>IF(ISNUMBER(Datos!N16),Datos!N16," - ")</f>
        <v>266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1.148972602739726</v>
      </c>
      <c r="BH16" s="260">
        <f>IF(ISNUMBER(((IF(D_I="SI",Datos!L16/Datos!K16,(Datos!L16+Datos!AF16)/(Datos!K16+Datos!AE16)))*11)/factor_trimestre),((IF(D_I="SI",Datos!L16/Datos!K16,(Datos!L16+Datos!AF16)/(Datos!K16+Datos!AE16)))*11)/factor_trimestre," - ")</f>
        <v>4.113263785394933</v>
      </c>
      <c r="BI16" s="243">
        <f>IF(ISNUMBER('Resol  Asuntos'!D16/NºAsuntos!G16),'Resol  Asuntos'!D16/NºAsuntos!G16," - ")</f>
        <v>0.26229508196721313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52</v>
      </c>
      <c r="AC17" s="226">
        <f>IF(ISNUMBER(Datos!Q17),Datos!Q17," - ")</f>
        <v>0</v>
      </c>
      <c r="AD17" s="334"/>
      <c r="AE17" s="484"/>
      <c r="AF17" s="332">
        <f>IF(ISNUMBER(Datos!L17),Datos!L17,"-")</f>
        <v>74</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16</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0.85245901639344257</v>
      </c>
      <c r="BH17" s="260">
        <f>IF(ISNUMBER(((IF(D_I="SI",Datos!L17/Datos!K17,(Datos!L17+Datos!AF17)/(Datos!K17+Datos!AE17)))*11)/factor_trimestre),((IF(D_I="SI",Datos!L17/Datos!K17,(Datos!L17+Datos!AF17)/(Datos!K17+Datos!AE17)))*11)/factor_trimestre," - ")</f>
        <v>4.2692307692307701</v>
      </c>
      <c r="BI17" s="243">
        <f>IF(ISNUMBER('Resol  Asuntos'!D17/NºAsuntos!G17),'Resol  Asuntos'!D17/NºAsuntos!G17," - ")</f>
        <v>0.30769230769230771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1007</v>
      </c>
      <c r="G18" s="898">
        <f>SUBTOTAL(9,G15:G17)</f>
        <v>1056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723</v>
      </c>
      <c r="AC18" s="899">
        <f t="shared" si="4"/>
        <v>17</v>
      </c>
      <c r="AD18" s="899">
        <f t="shared" si="4"/>
        <v>0</v>
      </c>
      <c r="AE18" s="899">
        <f t="shared" si="4"/>
        <v>0</v>
      </c>
      <c r="AF18" s="899">
        <f t="shared" si="4"/>
        <v>994</v>
      </c>
      <c r="AG18" s="899">
        <f t="shared" si="4"/>
        <v>0</v>
      </c>
      <c r="AH18" s="899">
        <f t="shared" si="4"/>
        <v>0</v>
      </c>
      <c r="AI18" s="899">
        <f t="shared" si="4"/>
        <v>0</v>
      </c>
      <c r="AJ18" s="899">
        <f t="shared" si="4"/>
        <v>0</v>
      </c>
      <c r="AK18" s="899">
        <f t="shared" si="4"/>
        <v>0</v>
      </c>
      <c r="AL18" s="899">
        <f t="shared" si="4"/>
        <v>0</v>
      </c>
      <c r="AM18" s="899">
        <f t="shared" si="4"/>
        <v>273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192</v>
      </c>
      <c r="BD18" s="899">
        <f t="shared" si="4"/>
        <v>286</v>
      </c>
      <c r="BE18" s="899">
        <f t="shared" si="4"/>
        <v>0</v>
      </c>
      <c r="BF18" s="899">
        <f t="shared" si="4"/>
        <v>0</v>
      </c>
      <c r="BG18" s="899">
        <f>IF(ISNUMBER(Datos!K18/Datos!J18),Datos!K18/Datos!J18," - ")</f>
        <v>1.1209302325581396</v>
      </c>
      <c r="BH18" s="903">
        <f>IF(ISNUMBER(((Datos!L18/Datos!K18)*11)/factor_trimestre),((Datos!L18/Datos!K18)*11)/factor_trimestre," - ")</f>
        <v>4.1244813278008303</v>
      </c>
      <c r="BI18" s="899">
        <f>SUBTOTAL(9,BI15:BI17)</f>
        <v>0.56998738965952089</v>
      </c>
      <c r="BJ18" s="899">
        <f>SUBTOTAL(9,BJ15:BJ17)</f>
        <v>0</v>
      </c>
      <c r="BK18" s="899">
        <f>SUBTOTAL(9,BK15:BK17)</f>
        <v>0</v>
      </c>
      <c r="BL18" s="899">
        <f>IF(ISNUMBER((I18-AB18+L18)/(F18)),(I18-AB18+L18)/(F18)," - ")</f>
        <v>-0.71797418073485597</v>
      </c>
      <c r="BM18" s="905">
        <f>IF(ISNUMBER((Datos!P18-Datos!Q18)/(Datos!R18-Datos!P18+Datos!Q18)),(Datos!P18-Datos!Q18)/(Datos!R18-Datos!P18+Datos!Q18)," - ")</f>
        <v>7.3800738007380072E-3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1031</v>
      </c>
      <c r="G19" s="820">
        <f t="shared" si="6"/>
        <v>1080</v>
      </c>
      <c r="H19" s="822">
        <f t="shared" si="6"/>
        <v>0</v>
      </c>
      <c r="I19" s="820">
        <f t="shared" si="6"/>
        <v>0</v>
      </c>
      <c r="J19" s="822">
        <f t="shared" si="6"/>
        <v>0</v>
      </c>
      <c r="K19" s="822">
        <f t="shared" si="6"/>
        <v>0</v>
      </c>
      <c r="L19" s="881">
        <f t="shared" si="6"/>
        <v>0</v>
      </c>
      <c r="M19" s="881">
        <f t="shared" si="6"/>
        <v>0</v>
      </c>
      <c r="N19" s="881">
        <f t="shared" si="6"/>
        <v>69</v>
      </c>
      <c r="O19" s="881">
        <f t="shared" si="6"/>
        <v>0</v>
      </c>
      <c r="P19" s="881">
        <f t="shared" si="6"/>
        <v>0</v>
      </c>
      <c r="Q19" s="822">
        <f t="shared" si="6"/>
        <v>117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729</v>
      </c>
      <c r="AC19" s="821">
        <f t="shared" si="7"/>
        <v>130</v>
      </c>
      <c r="AD19" s="821">
        <f t="shared" si="7"/>
        <v>0</v>
      </c>
      <c r="AE19" s="821">
        <f t="shared" si="7"/>
        <v>0</v>
      </c>
      <c r="AF19" s="828">
        <f t="shared" si="7"/>
        <v>1017</v>
      </c>
      <c r="AG19" s="828">
        <f t="shared" si="7"/>
        <v>0</v>
      </c>
      <c r="AH19" s="828">
        <f t="shared" si="7"/>
        <v>166</v>
      </c>
      <c r="AI19" s="828">
        <f t="shared" si="7"/>
        <v>0</v>
      </c>
      <c r="AJ19" s="821">
        <f t="shared" si="7"/>
        <v>0</v>
      </c>
      <c r="AK19" s="828">
        <f t="shared" si="7"/>
        <v>0</v>
      </c>
      <c r="AL19" s="828">
        <f t="shared" si="7"/>
        <v>0</v>
      </c>
      <c r="AM19" s="828">
        <f t="shared" si="7"/>
        <v>2017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349</v>
      </c>
      <c r="BD19" s="820">
        <f t="shared" si="7"/>
        <v>590</v>
      </c>
      <c r="BE19" s="820">
        <f t="shared" si="7"/>
        <v>0</v>
      </c>
      <c r="BF19" s="830">
        <f t="shared" si="7"/>
        <v>0</v>
      </c>
      <c r="BG19" s="915">
        <f>IF(ISNUMBER(Datos!K19/Datos!J19),Datos!K19/Datos!J19," - ")</f>
        <v>1.095600676818951</v>
      </c>
      <c r="BH19" s="915">
        <f>IF(ISNUMBER(((Datos!L19/Datos!K19)*11)/factor_trimestre),((Datos!L19/Datos!K19)*11)/factor_trimestre," - ")</f>
        <v>4.7073359073359073</v>
      </c>
      <c r="BI19" s="813">
        <f>IF(ISNUMBER(Datos!J19/Datos!I19),Datos!J19/Datos!I19," - ")</f>
        <v>0.55519023015500235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-0.7070805043646945</v>
      </c>
      <c r="BM19" s="889">
        <f>IF(ISNUMBER((Datos!P19-Datos!Q19+R19)/(Datos!R19-Datos!P19+Datos!Q19-R19)),(Datos!P19-Datos!Q19+R19)/(Datos!R19-Datos!P19+Datos!Q19-R19)," - ")</f>
        <v>-6.4039408866995075E-3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567.53531461340208</v>
      </c>
      <c r="G21" s="552">
        <f>IF(ISNUMBER(STDEV(G8:G18)),STDEV(G8:G18),"-")</f>
        <v>540.71110585968177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371.00983814448909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83.987300627336907</v>
      </c>
      <c r="BD21" s="551"/>
      <c r="BE21" s="551">
        <f>IF(ISNUMBER(STDEV(BE8:BE18)),STDEV(BE8:BE18),"-")</f>
        <v>0</v>
      </c>
      <c r="BF21" s="556">
        <f>IF(ISNUMBER(STDEV(BF8:BF18)),STDEV(BF8:BF18),"-")</f>
        <v>0</v>
      </c>
      <c r="BG21" s="775">
        <f>IF(ISNUMBER(STDEV(BG8:BG18)),STDEV(BG8:BG18),"-")</f>
        <v>0.12139255355287575</v>
      </c>
      <c r="BH21" s="776">
        <f>IF(ISNUMBER(STDEV(BH8:BH18)),STDEV(BH8:BH18),"-")</f>
        <v>2.850374053089979</v>
      </c>
      <c r="BI21" s="249">
        <f>IF(ISNUMBER(STDEV(BI8:BI18)),STDEV(BI8:BI18),"-")</f>
        <v>0.1509049852000833</v>
      </c>
      <c r="BJ21" s="230" t="str">
        <f>IF(ISNUMBER(BL21/BM21),BL21/BM21," - ")</f>
        <v xml:space="preserve"> - </v>
      </c>
      <c r="BK21" s="575"/>
      <c r="BL21" s="559">
        <f>IF(ISNUMBER(STDEV(BL8:BL18)),STDEV(BL8:BL18),"-")</f>
        <v>0.33090771661783558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kGRRuQcxqB3uinK9q8NahO52Pow8Y3GCNqV1+WRZq2E2AozzorBifZkwp6VPFp0KCCi4+P8H0Vt7I24DVBHpUA==" saltValue="zQxjrqX0Xj1/57NDwXpYz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PAIS VASCO</v>
      </c>
    </row>
    <row r="2" spans="1:78" ht="16.5" customHeight="1">
      <c r="C2" s="528" t="str">
        <f>Criterios!A10 &amp;"  "&amp;Criterios!B10 &amp; "  " &amp; IF(NOT(ISBLANK(Criterios!A11)),Criterios!A11 &amp;"  "&amp;Criterios!B11,"")</f>
        <v>Provincias  BIZKAIA  Resumenes por Partidos Judiciales  GERNIKA-LUMO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24</v>
      </c>
      <c r="G10" s="225">
        <f>IF(ISNUMBER(Datos!I10),Datos!I10," - ")</f>
        <v>24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7</v>
      </c>
      <c r="AA10" s="332">
        <f>IF(ISNUMBER(Datos!L10),Datos!L10,"-")</f>
        <v>23</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3</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11.500000000000002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-0.54545454545454541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106</v>
      </c>
      <c r="AA12" s="332" t="str">
        <f>IF(ISNUMBER(IF(J_V="SI",Datos!L12,Datos!L12+Datos!AB12)-IF(Monitorios="SI",Datos!CD12,0)),
                          IF(J_V="SI",Datos!L12,Datos!L12+Datos!AB12)-IF(Monitorios="SI",Datos!CD12,0),
                          " - ")</f>
        <v xml:space="preserve"> - </v>
      </c>
      <c r="AB12" s="334"/>
      <c r="AC12" s="334"/>
      <c r="AD12" s="484"/>
      <c r="AE12" s="484">
        <f>IF(ISNUMBER(Datos!R12),Datos!R12," - ")</f>
        <v>1739</v>
      </c>
      <c r="AF12" s="229" t="str">
        <f>IF(ISNUMBER(Datos!BV12),Datos!BV12," - ")</f>
        <v xml:space="preserve"> - </v>
      </c>
      <c r="AG12" s="225" t="str">
        <f>IF(ISNUMBER(Datos!DV12),Datos!DV12," - ")</f>
        <v xml:space="preserve"> - </v>
      </c>
      <c r="AH12" s="298"/>
      <c r="AI12" s="227"/>
      <c r="AJ12" s="225">
        <f>IF(ISNUMBER(Datos!M12),Datos!M12," - ")</f>
        <v>154</v>
      </c>
      <c r="AK12" s="229">
        <f>IF(ISNUMBER(Datos!N12),Datos!N12," - ")</f>
        <v>301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5.6417197452229297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-5.148741418764302E-3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24</v>
      </c>
      <c r="G13" s="898">
        <f>SUBTOTAL(9,G8:G12)</f>
        <v>24</v>
      </c>
      <c r="H13" s="908"/>
      <c r="I13" s="898">
        <f t="shared" ref="I13:N13" si="0">SUBTOTAL(9,I8:I12)</f>
        <v>0</v>
      </c>
      <c r="J13" s="867">
        <f t="shared" si="0"/>
        <v>0</v>
      </c>
      <c r="K13" s="908">
        <f t="shared" si="0"/>
        <v>0</v>
      </c>
      <c r="L13" s="908">
        <f t="shared" si="0"/>
        <v>0</v>
      </c>
      <c r="M13" s="908">
        <f t="shared" si="0"/>
        <v>0</v>
      </c>
      <c r="N13" s="908">
        <f t="shared" si="0"/>
        <v>98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113</v>
      </c>
      <c r="AA13" s="900">
        <f t="shared" si="2"/>
        <v>23</v>
      </c>
      <c r="AB13" s="900">
        <f t="shared" si="2"/>
        <v>0</v>
      </c>
      <c r="AC13" s="900">
        <f t="shared" si="2"/>
        <v>0</v>
      </c>
      <c r="AD13" s="900">
        <f t="shared" si="2"/>
        <v>0</v>
      </c>
      <c r="AE13" s="900">
        <f t="shared" si="2"/>
        <v>1744</v>
      </c>
      <c r="AF13" s="908">
        <f t="shared" si="2"/>
        <v>0</v>
      </c>
      <c r="AG13" s="908">
        <f t="shared" si="2"/>
        <v>0</v>
      </c>
      <c r="AH13" s="908">
        <f t="shared" si="2"/>
        <v>0</v>
      </c>
      <c r="AI13" s="908">
        <f t="shared" si="2"/>
        <v>0</v>
      </c>
      <c r="AJ13" s="908">
        <f t="shared" si="2"/>
        <v>157</v>
      </c>
      <c r="AK13" s="908">
        <f t="shared" si="2"/>
        <v>304</v>
      </c>
      <c r="AL13" s="908">
        <f t="shared" si="2"/>
        <v>0</v>
      </c>
      <c r="AM13" s="908">
        <f t="shared" si="2"/>
        <v>0</v>
      </c>
      <c r="AN13" s="908">
        <f t="shared" si="2"/>
        <v>0</v>
      </c>
      <c r="AO13" s="904">
        <f>IF(ISNUMBER(((NºAsuntos!I13/NºAsuntos!G13)*11)/factor_trimestre),((NºAsuntos!I13/NºAsuntos!G13)*11)/factor_trimestre," - ")</f>
        <v>5.6971608832807572</v>
      </c>
      <c r="AP13" s="910" t="str">
        <f>IF(ISNUMBER(Datos!CI13/Datos!CJ13),Datos!CI13/Datos!CJ13," - ")</f>
        <v xml:space="preserve"> - </v>
      </c>
      <c r="AQ13" s="928">
        <f t="shared" ref="AQ13:AV13" si="3">SUBTOTAL(9,AQ9:AQ12)</f>
        <v>0</v>
      </c>
      <c r="AR13" s="928">
        <f t="shared" si="3"/>
        <v>-0.55060328687330973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1007</v>
      </c>
      <c r="G16" s="225">
        <f>IF(ISNUMBER(IF(D_I="SI",Datos!I16,Datos!I16+Datos!AC16)),IF(D_I="SI",Datos!I16,Datos!I16+Datos!AC16)," - ")</f>
        <v>991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671</v>
      </c>
      <c r="Z16" s="619">
        <f>IF(ISNUMBER(Datos!Q16),Datos!Q16," - ")</f>
        <v>17</v>
      </c>
      <c r="AA16" s="332">
        <f>IF(ISNUMBER(IF(D_I="SI",Datos!L16,Datos!L16+Datos!AF16)),IF(D_I="SI",Datos!L16,Datos!L16+Datos!AF16)," - ")</f>
        <v>920</v>
      </c>
      <c r="AB16" s="334"/>
      <c r="AC16" s="334"/>
      <c r="AD16" s="484"/>
      <c r="AE16" s="484">
        <f>IF(ISNUMBER(Datos!R16),Datos!R16," - ")</f>
        <v>267</v>
      </c>
      <c r="AF16" s="229" t="str">
        <f>IF(ISNUMBER(Datos!BV16),Datos!BV16," - ")</f>
        <v xml:space="preserve"> - </v>
      </c>
      <c r="AG16" s="225"/>
      <c r="AH16" s="298"/>
      <c r="AI16" s="227"/>
      <c r="AJ16" s="225">
        <f>IF(ISNUMBER(Datos!M16),Datos!M16," - ")</f>
        <v>176</v>
      </c>
      <c r="AK16" s="229">
        <f>IF(ISNUMBER(Datos!N16),Datos!N16," - ")</f>
        <v>266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4.113263785394933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52</v>
      </c>
      <c r="Z17" s="619">
        <f>IF(ISNUMBER(Datos!Q17),Datos!Q17," - ")</f>
        <v>0</v>
      </c>
      <c r="AA17" s="332">
        <f>IF(ISNUMBER(Datos!L17),Datos!L17,"-")</f>
        <v>74</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16</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4.2692307692307701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1007</v>
      </c>
      <c r="G18" s="898">
        <f>SUBTOTAL(9,G15:G17)</f>
        <v>1056</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723</v>
      </c>
      <c r="Z18" s="932">
        <f t="shared" si="5"/>
        <v>17</v>
      </c>
      <c r="AA18" s="932">
        <f t="shared" si="5"/>
        <v>994</v>
      </c>
      <c r="AB18" s="932">
        <f t="shared" si="5"/>
        <v>0</v>
      </c>
      <c r="AC18" s="932">
        <f t="shared" si="5"/>
        <v>0</v>
      </c>
      <c r="AD18" s="932">
        <f t="shared" si="5"/>
        <v>0</v>
      </c>
      <c r="AE18" s="932">
        <f t="shared" si="5"/>
        <v>273</v>
      </c>
      <c r="AF18" s="932">
        <f t="shared" si="5"/>
        <v>0</v>
      </c>
      <c r="AG18" s="932">
        <f t="shared" si="5"/>
        <v>0</v>
      </c>
      <c r="AH18" s="932">
        <f t="shared" si="5"/>
        <v>0</v>
      </c>
      <c r="AI18" s="932">
        <f t="shared" si="5"/>
        <v>0</v>
      </c>
      <c r="AJ18" s="932">
        <f t="shared" si="5"/>
        <v>192</v>
      </c>
      <c r="AK18" s="932">
        <f t="shared" si="5"/>
        <v>286</v>
      </c>
      <c r="AL18" s="932">
        <f t="shared" si="5"/>
        <v>0</v>
      </c>
      <c r="AM18" s="932">
        <f t="shared" si="5"/>
        <v>0</v>
      </c>
      <c r="AN18" s="932">
        <f t="shared" si="5"/>
        <v>0</v>
      </c>
      <c r="AO18" s="934">
        <f>IF(ISNUMBER(((NºAsuntos!I18/NºAsuntos!G18)*11)/factor_trimestre),((NºAsuntos!I18/NºAsuntos!G18)*11)/factor_trimestre," - ")</f>
        <v>4.1244813278008303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1031</v>
      </c>
      <c r="G19" s="820">
        <f t="shared" si="7"/>
        <v>1080</v>
      </c>
      <c r="H19" s="821">
        <f t="shared" si="7"/>
        <v>0</v>
      </c>
      <c r="I19" s="820">
        <f t="shared" si="7"/>
        <v>0</v>
      </c>
      <c r="J19" s="822">
        <f t="shared" si="7"/>
        <v>0</v>
      </c>
      <c r="K19" s="820">
        <f t="shared" si="7"/>
        <v>0</v>
      </c>
      <c r="L19" s="823">
        <f t="shared" si="7"/>
        <v>0</v>
      </c>
      <c r="M19" s="820">
        <f t="shared" si="7"/>
        <v>0</v>
      </c>
      <c r="N19" s="821">
        <f t="shared" si="7"/>
        <v>117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729</v>
      </c>
      <c r="Z19" s="827">
        <f t="shared" si="8"/>
        <v>130</v>
      </c>
      <c r="AA19" s="828">
        <f t="shared" si="8"/>
        <v>1017</v>
      </c>
      <c r="AB19" s="828">
        <f t="shared" si="8"/>
        <v>0</v>
      </c>
      <c r="AC19" s="828">
        <f t="shared" si="8"/>
        <v>0</v>
      </c>
      <c r="AD19" s="829">
        <f t="shared" si="8"/>
        <v>0</v>
      </c>
      <c r="AE19" s="829">
        <f t="shared" si="8"/>
        <v>2017</v>
      </c>
      <c r="AF19" s="830">
        <f t="shared" si="8"/>
        <v>0</v>
      </c>
      <c r="AG19" s="831">
        <f t="shared" si="8"/>
        <v>0</v>
      </c>
      <c r="AH19" s="832">
        <f t="shared" si="8"/>
        <v>0</v>
      </c>
      <c r="AI19" s="830">
        <f t="shared" si="8"/>
        <v>0</v>
      </c>
      <c r="AJ19" s="820">
        <f t="shared" si="8"/>
        <v>349</v>
      </c>
      <c r="AK19" s="820">
        <f t="shared" si="8"/>
        <v>590</v>
      </c>
      <c r="AL19" s="820">
        <f t="shared" si="8"/>
        <v>0</v>
      </c>
      <c r="AM19" s="833">
        <f t="shared" si="8"/>
        <v>0</v>
      </c>
      <c r="AN19" s="823">
        <f>IF(ISNUMBER(Datos!K19/Datos!J19),Datos!K19/Datos!J19," - ")</f>
        <v>1.095600676818951</v>
      </c>
      <c r="AO19" s="823">
        <f>IF(ISNUMBER(FIND("06",Criterios!A8,1)),(IF(ISNUMBER(((Datos!R19/Datos!Q19)*11)/factor_trimestre),((Datos!R19/Datos!Q19)*11)/factor_trimestre," - ")),(IF(ISNUMBER(((Datos!L19/Datos!K19)*11)/factor_trimestre),((Datos!L19/Datos!K19)*11)/factor_trimestre," - ")))</f>
        <v>4.7073359073359073</v>
      </c>
      <c r="AP19" s="834" t="str">
        <f>IF(ISNUMBER(Datos!CI19/Datos!CJ19),Datos!CI19/Datos!CJ19," - ")</f>
        <v xml:space="preserve"> - </v>
      </c>
      <c r="AQ19" s="834">
        <f>IF(OR(ISNUMBER(FIND("01",Criterios!A8,1)),ISNUMBER(FIND("02",Criterios!A8,1)),ISNUMBER(FIND("03",Criterios!A8,1)),ISNUMBER(FIND("04",Criterios!A8,1))),(J19-Y19+K19)/(F19-K19),(I19-Y19+K19)/(F19-K19))</f>
        <v>-0.7070805043646945</v>
      </c>
      <c r="AR19" s="834">
        <f>IF(ISNUMBER((Datos!P19-Datos!Q19+O19)/(Datos!R19-Datos!P19+Datos!Q19-O19)),(Datos!P19-Datos!Q19+O19)/(Datos!R19-Datos!P19+Datos!Q19-O19)," - ")</f>
        <v>-6.4039408866995075E-3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567.53531461340208</v>
      </c>
      <c r="G21" s="552">
        <f>IF(ISNUMBER(STDEV(G8:G18)),STDEV(G8:G18),"-")</f>
        <v>540.71110585968177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83.987300627336907</v>
      </c>
      <c r="AK21" s="252"/>
      <c r="AL21" s="252">
        <f>IF(ISNUMBER(STDEV(AL8:AL18)),STDEV(AL8:AL18),"-")</f>
        <v>0</v>
      </c>
      <c r="AM21" s="254">
        <f>IF(ISNUMBER(STDEV(AM8:AM18)),STDEV(AM8:AM18),"-")</f>
        <v>0</v>
      </c>
      <c r="AN21" s="539">
        <f>IF(ISNUMBER(STDEV(AN8:AN18)),STDEV(AN8:AN18),"-")</f>
        <v>0</v>
      </c>
      <c r="AO21" s="540">
        <f>IF(ISNUMBER(STDEV(AO8:AO18)),STDEV(AO8:AO18),"-")</f>
        <v>2.8450541278146932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ad3JtbEa+Yb5MmRc4+fUvUTKUvVCZQfQ8k1pzdkba2RQ5QtcAtbsV8NwskrBql8Of1Bf81jzBzQU6IpfkiVdPA==" saltValue="g8gHoj+GdsQUEwymdLIBh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yK8qVTqfTiPicWdtbNMqw0WHkT5cuOmCePkENykqZo41e9rAroRFeX/9LwWD+CyS8l3MyNU7Z8XU01XI9Dt5w==" saltValue="bkJ/OZfZqYR7OaVyLqWR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PAIS VASCO</v>
      </c>
    </row>
    <row r="4" spans="1:156" ht="13.5" thickBot="1">
      <c r="A4" t="str">
        <f>Criterios!A10</f>
        <v>Provincias</v>
      </c>
      <c r="B4" t="str">
        <f>Criterios!B10</f>
        <v>BIZKAIA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dNRHVKEUE0IEL+UeYHGKd1WMgVkThRTkdnzyDRm/idhAEdoku9TnerB7O8w1eqvOI52fUfioHSq+CvN3aOsDw==" saltValue="9oGYbSpgoWN3R/vjXtpf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PAIS VASCO</v>
      </c>
    </row>
    <row r="2" spans="1:78" ht="16.5" customHeight="1">
      <c r="C2" s="488" t="str">
        <f>Criterios!A10 &amp;"  "&amp;Criterios!B10 &amp; "  " &amp; IF(NOT(ISBLANK(Criterios!A11)),Criterios!A11 &amp;"  "&amp;Criterios!B11,"")</f>
        <v>Provincias  BIZKAIA  Resumenes por Partidos Judiciales  GERNIKA-LUMO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0.2476340694006309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0.17510372972600624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KztT645Lu5egKxJiOnd1sGYUwm9WkWHeNtYE8EES7A2N0ll2rMpXgtZXI8ugeLuZ74mg+jkYfan64O2oMTFfmA==" saltValue="qWIfGVC1Bg5lxzTqR181n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hs1beWiupuxThmSkJPBSti+2m3oEEyD2604OsNvZVzoMKXeID/PFw4uJ72EwqIWyWcCgQ2sp9jCrnyVoNnQew==" saltValue="3umIKWtYSdhY8ULABSgX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PAIS VASCO</v>
      </c>
      <c r="C2" s="375"/>
      <c r="D2" s="375"/>
      <c r="E2" s="375"/>
      <c r="F2" s="375"/>
    </row>
    <row r="3" spans="1:69" ht="19.5">
      <c r="A3" s="390" t="s">
        <v>115</v>
      </c>
      <c r="B3" s="391" t="str">
        <f>Criterios!A10 &amp;"  "&amp;Criterios!B10</f>
        <v>Provincias  BIZKAIA</v>
      </c>
      <c r="D3" s="375"/>
      <c r="E3" s="375"/>
      <c r="F3" s="375"/>
      <c r="BQ3" s="471"/>
    </row>
    <row r="4" spans="1:69" ht="13.5" thickBot="1">
      <c r="A4" s="375"/>
      <c r="B4" s="391" t="str">
        <f>Criterios!A11 &amp;"  "&amp;Criterios!B11</f>
        <v>Resumenes por Partidos Judiciales  GERNIKA-LUMO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24</v>
      </c>
      <c r="D10" s="404">
        <f>IF(ISNUMBER(C10/Datos!BH10),C10/Datos!BH10," - ")</f>
        <v>24</v>
      </c>
      <c r="E10" s="403">
        <f>IF(ISNUMBER(Datos!J10),Datos!J10," - ")</f>
        <v>5</v>
      </c>
      <c r="F10" s="404">
        <f>IF(ISNUMBER(E10/B10),E10/B10," - ")</f>
        <v>5</v>
      </c>
      <c r="G10" s="403">
        <f>IF(ISNUMBER(Datos!K10),Datos!K10," - ")</f>
        <v>6</v>
      </c>
      <c r="H10" s="404">
        <f>IF(ISNUMBER(G10/B10),G10/B10," - ")</f>
        <v>6</v>
      </c>
      <c r="I10" s="403">
        <f>IF(ISNUMBER(Datos!L10),Datos!L10," - ")</f>
        <v>23</v>
      </c>
      <c r="J10" s="404">
        <f>IF(ISNUMBER(I10/B10),I10/B10," - ")</f>
        <v>23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1208</v>
      </c>
      <c r="D12" s="404">
        <f>IF(ISNUMBER(C12/Datos!BH12),C12/Datos!BH12," - ")</f>
        <v>302</v>
      </c>
      <c r="E12" s="403">
        <f>IF(ISNUMBER(IF(J_V="SI",Datos!J12,Datos!J12+Datos!Z12)),IF(J_V="SI",Datos!J12,Datos!J12+Datos!Z12)," - ")</f>
        <v>601</v>
      </c>
      <c r="F12" s="404">
        <f>IF(ISNUMBER(E12/B12),E12/B12," - ")</f>
        <v>150.25</v>
      </c>
      <c r="G12" s="403">
        <f>IF(ISNUMBER(IF(J_V="SI",Datos!K12,Datos!K12+Datos!AA12)),IF(J_V="SI",Datos!K12,Datos!K12+Datos!AA12)," - ")</f>
        <v>628</v>
      </c>
      <c r="H12" s="404">
        <f>IF(ISNUMBER(G12/B12),G12/B12," - ")</f>
        <v>157</v>
      </c>
      <c r="I12" s="403">
        <f>IF(ISNUMBER(IF(J_V="SI",Datos!L12,Datos!L12+Datos!AB12)),IF(J_V="SI",Datos!L12,Datos!L12+Datos!AB12)," - ")</f>
        <v>1181</v>
      </c>
      <c r="J12" s="404">
        <f>IF(ISNUMBER(I12/B12),I12/B12," - ")</f>
        <v>295.25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1232</v>
      </c>
      <c r="D13" s="850" t="str">
        <f>IF(ISNUMBER(C13/Datos!BI13),C13/Datos!BI13," - ")</f>
        <v xml:space="preserve"> - </v>
      </c>
      <c r="E13" s="849">
        <f>SUBTOTAL(9,E8:E12)</f>
        <v>606</v>
      </c>
      <c r="F13" s="850">
        <f>IF(ISNUMBER(E13/B13),E13/B13," - ")</f>
        <v>151.5</v>
      </c>
      <c r="G13" s="849">
        <f>SUBTOTAL(9,G8:G12)</f>
        <v>634</v>
      </c>
      <c r="H13" s="850">
        <f>IF(ISNUMBER(G13/B13),G13/B13," - ")</f>
        <v>158.5</v>
      </c>
      <c r="I13" s="849">
        <f>SUBTOTAL(9,I8:I12)</f>
        <v>1204</v>
      </c>
      <c r="J13" s="850">
        <f>IF(ISNUMBER(I13/B13),I13/B13," - ")</f>
        <v>301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991</v>
      </c>
      <c r="D16" s="404">
        <f>IF(ISNUMBER(C16/Datos!BH16),C16/Datos!BH16," - ")</f>
        <v>247.75</v>
      </c>
      <c r="E16" s="403">
        <f>IF(ISNUMBER(IF(D_I="SI",Datos!J16,Datos!J16+Datos!AD16)),IF(D_I="SI",Datos!J16,Datos!J16+Datos!AD16)," - ")</f>
        <v>584</v>
      </c>
      <c r="F16" s="404">
        <f>IF(ISNUMBER(E16/B16),E16/B16," - ")</f>
        <v>146</v>
      </c>
      <c r="G16" s="403">
        <f>IF(ISNUMBER(IF(D_I="SI",Datos!K16,Datos!K16+Datos!AE16)),IF(D_I="SI",Datos!K16,Datos!K16+Datos!AE16)," - ")</f>
        <v>671</v>
      </c>
      <c r="H16" s="404">
        <f>IF(ISNUMBER(G16/B16),G16/B16," - ")</f>
        <v>167.75</v>
      </c>
      <c r="I16" s="403">
        <f>IF(ISNUMBER(IF(D_I="SI",Datos!L16,Datos!L16+Datos!AF16)),IF(D_I="SI",Datos!L16,Datos!L16+Datos!AF16)," - ")</f>
        <v>920</v>
      </c>
      <c r="J16" s="404">
        <f>IF(ISNUMBER(I16/B16),I16/B16," - ")</f>
        <v>230</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65</v>
      </c>
      <c r="D17" s="404">
        <f>IF(ISNUMBER(C17/Datos!BH17),C17/Datos!BH17," - ")</f>
        <v>65</v>
      </c>
      <c r="E17" s="403">
        <f>IF(ISNUMBER(IF(D_I="SI",Datos!J17,Datos!J17+Datos!AD17)),IF(D_I="SI",Datos!J17,Datos!J17+Datos!AD17)," - ")</f>
        <v>61</v>
      </c>
      <c r="F17" s="404">
        <f>IF(ISNUMBER(E17/B17),E17/B17," - ")</f>
        <v>61</v>
      </c>
      <c r="G17" s="403">
        <f>IF(ISNUMBER(IF(D_I="SI",Datos!K17,Datos!K17+Datos!AE17)),IF(D_I="SI",Datos!K17,Datos!K17+Datos!AE17)," - ")</f>
        <v>52</v>
      </c>
      <c r="H17" s="404">
        <f>IF(ISNUMBER(G17/B17),G17/B17," - ")</f>
        <v>52</v>
      </c>
      <c r="I17" s="403">
        <f>IF(ISNUMBER(IF(D_I="SI",Datos!L17,Datos!L17+Datos!AF17)),IF(D_I="SI",Datos!L17,Datos!L17+Datos!AF17)," - ")</f>
        <v>74</v>
      </c>
      <c r="J17" s="404">
        <f>IF(ISNUMBER(I17/B17),I17/B17," - ")</f>
        <v>74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1056</v>
      </c>
      <c r="D18" s="850" t="str">
        <f>IF(ISNUMBER(C18/Datos!BI18),C18/Datos!BI18," - ")</f>
        <v xml:space="preserve"> - </v>
      </c>
      <c r="E18" s="849">
        <f>SUBTOTAL(9,E14:E17)</f>
        <v>645</v>
      </c>
      <c r="F18" s="850">
        <f>IF(ISNUMBER(E18/B18),E18/B18," - ")</f>
        <v>161.25</v>
      </c>
      <c r="G18" s="849">
        <f>SUBTOTAL(9,G14:G17)</f>
        <v>723</v>
      </c>
      <c r="H18" s="850">
        <f>IF(ISNUMBER(G18/B18),G18/B18," - ")</f>
        <v>180.75</v>
      </c>
      <c r="I18" s="849">
        <f>SUBTOTAL(9,I14:I17)</f>
        <v>994</v>
      </c>
      <c r="J18" s="850">
        <f>IF(ISNUMBER(I18/B18),I18/B18," - ")</f>
        <v>248.5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2288</v>
      </c>
      <c r="D19" s="795" t="str">
        <f>IF(ISNUMBER(C19/Datos!BI19),C19/Datos!BI19," - ")</f>
        <v xml:space="preserve"> - </v>
      </c>
      <c r="E19" s="794">
        <f>SUBTOTAL(9,E9:E18)</f>
        <v>1251</v>
      </c>
      <c r="F19" s="795">
        <f>IF(ISNUMBER(E19/B19),E19/B19," - ")</f>
        <v>312.75</v>
      </c>
      <c r="G19" s="794">
        <f>SUBTOTAL(9,G9:G18)</f>
        <v>1357</v>
      </c>
      <c r="H19" s="795">
        <f>IF(ISNUMBER(G19/B19),G19/B19," - ")</f>
        <v>339.25</v>
      </c>
      <c r="I19" s="794">
        <f>SUBTOTAL(9,I9:I18)</f>
        <v>2198</v>
      </c>
      <c r="J19" s="795">
        <f>IF(ISNUMBER(I19/B19),I19/B19," - ")</f>
        <v>549.5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GkcQ2TcOOS5Oj6ZgJ2yRsaZ73z3waTK7B1luJV71Lt/cuVPcTNGIZVJPV+XdCSUXZhi6Wc6zKO3gVBgN93gcew==" saltValue="3pWC8Z7KXSwnFOW7X3XzV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PAIS VASCO</v>
      </c>
      <c r="W1"/>
      <c r="X1"/>
    </row>
    <row r="2" spans="1:78" ht="16.5" customHeight="1">
      <c r="C2" s="488" t="str">
        <f>Criterios!A10 &amp;"  "&amp;Criterios!B10 &amp; "  " &amp; IF(NOT(ISBLANK(Criterios!A11)),Criterios!A11 &amp;"  "&amp;Criterios!B11,"")</f>
        <v>Provincias  BIZKAIA  Resumenes por Partidos Judiciales  GERNIKA-LUMO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24</v>
      </c>
      <c r="G10" s="684">
        <f>IF(ISNUMBER(Datos!I10),Datos!I10," - ")</f>
        <v>24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23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11.500000000000002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106</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154</v>
      </c>
      <c r="AM12" s="690">
        <f>IF(ISNUMBER(Datos!N12+DatosP!N16),Datos!N12+DatosP!N16," - ")</f>
        <v>301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5.6417197452229297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-5.148741418764302E-3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24</v>
      </c>
      <c r="G13" s="938">
        <f t="shared" si="0"/>
        <v>24</v>
      </c>
      <c r="H13" s="938">
        <f t="shared" si="0"/>
        <v>0</v>
      </c>
      <c r="I13" s="940">
        <f t="shared" si="0"/>
        <v>0</v>
      </c>
      <c r="J13" s="939">
        <f t="shared" si="0"/>
        <v>0</v>
      </c>
      <c r="K13" s="939">
        <f t="shared" si="0"/>
        <v>0</v>
      </c>
      <c r="L13" s="941">
        <f t="shared" si="0"/>
        <v>0</v>
      </c>
      <c r="M13" s="941">
        <f t="shared" si="0"/>
        <v>0</v>
      </c>
      <c r="N13" s="939">
        <f t="shared" si="0"/>
        <v>98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106</v>
      </c>
      <c r="AE13" s="939">
        <f t="shared" si="1"/>
        <v>0</v>
      </c>
      <c r="AF13" s="939">
        <f t="shared" si="1"/>
        <v>23</v>
      </c>
      <c r="AG13" s="939">
        <f t="shared" si="1"/>
        <v>0</v>
      </c>
      <c r="AH13" s="939">
        <f t="shared" si="1"/>
        <v>1739</v>
      </c>
      <c r="AI13" s="939">
        <f t="shared" si="1"/>
        <v>0</v>
      </c>
      <c r="AJ13" s="939">
        <f t="shared" si="1"/>
        <v>0</v>
      </c>
      <c r="AK13" s="939">
        <f t="shared" si="1"/>
        <v>0</v>
      </c>
      <c r="AL13" s="939">
        <f t="shared" si="1"/>
        <v>157</v>
      </c>
      <c r="AM13" s="939">
        <f t="shared" si="1"/>
        <v>304</v>
      </c>
      <c r="AN13" s="939">
        <f t="shared" si="1"/>
        <v>0</v>
      </c>
      <c r="AO13" s="939">
        <f t="shared" si="1"/>
        <v>0</v>
      </c>
      <c r="AP13" s="944">
        <f>IF(ISNUMBER(((Datos!L13/Datos!K13)*11)/factor_trimestre),((Datos!L13/Datos!K13)*11)/factor_trimestre," - ")</f>
        <v>5.4440559440559442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-5.148741418764302E-3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4.1244813278008303</v>
      </c>
      <c r="AQ18" s="944">
        <f>IF(ISNUMBER(((Datos!M18/Datos!L18)*11)/factor_trimestre),((Datos!M18/Datos!L18)*11)/factor_trimestre," - ")</f>
        <v>0.57947686116700192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7.3800738007380072E-3</v>
      </c>
      <c r="AW18" s="946">
        <f>IF(ISNUMBER((Datos!Q18-Datos!R18)/(Datos!S18-Datos!Q18+Datos!R18)),(Datos!Q18-Datos!R18)/(Datos!S18-Datos!Q18+Datos!R18)," - ")</f>
        <v>-0.18168914123491839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24</v>
      </c>
      <c r="G19" s="951">
        <f t="shared" si="4"/>
        <v>24</v>
      </c>
      <c r="H19" s="951">
        <f t="shared" si="4"/>
        <v>0</v>
      </c>
      <c r="I19" s="952">
        <f t="shared" si="4"/>
        <v>0</v>
      </c>
      <c r="J19" s="953">
        <f t="shared" si="4"/>
        <v>0</v>
      </c>
      <c r="K19" s="953">
        <f t="shared" si="4"/>
        <v>0</v>
      </c>
      <c r="L19" s="953">
        <f t="shared" si="4"/>
        <v>0</v>
      </c>
      <c r="M19" s="953">
        <f t="shared" si="4"/>
        <v>0</v>
      </c>
      <c r="N19" s="952">
        <f t="shared" si="4"/>
        <v>98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106</v>
      </c>
      <c r="AE19" s="957">
        <f t="shared" si="5"/>
        <v>0</v>
      </c>
      <c r="AF19" s="958">
        <f t="shared" si="5"/>
        <v>23</v>
      </c>
      <c r="AG19" s="958">
        <f t="shared" si="5"/>
        <v>0</v>
      </c>
      <c r="AH19" s="958">
        <f t="shared" si="5"/>
        <v>1739</v>
      </c>
      <c r="AI19" s="958">
        <f t="shared" si="5"/>
        <v>0</v>
      </c>
      <c r="AJ19" s="959">
        <f t="shared" si="5"/>
        <v>0</v>
      </c>
      <c r="AK19" s="959">
        <f t="shared" si="5"/>
        <v>0</v>
      </c>
      <c r="AL19" s="951">
        <f t="shared" si="5"/>
        <v>157</v>
      </c>
      <c r="AM19" s="951">
        <f t="shared" si="5"/>
        <v>304</v>
      </c>
      <c r="AN19" s="951">
        <f t="shared" si="5"/>
        <v>0</v>
      </c>
      <c r="AO19" s="951">
        <f t="shared" si="5"/>
        <v>0</v>
      </c>
      <c r="AP19" s="951">
        <f>IF(ISNUMBER(((Datos!L19/Datos!K19)*11)/factor_trimestre),((Datos!L19/Datos!K19)*11)/factor_trimestre," - ")</f>
        <v>4.7073359073359073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-6.4039408866995075E-3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13.856406460551018</v>
      </c>
      <c r="G21" s="737">
        <f>IF(ISNUMBER(STDEV(G8:G18)),STDEV(G8:G18),"-")</f>
        <v>13.856406460551018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88.928810479693993</v>
      </c>
      <c r="AM21" s="736"/>
      <c r="AN21" s="736">
        <f>IF(ISNUMBER(STDEV(AN8:AN18)),STDEV(AN8:AN18),"-")</f>
        <v>0</v>
      </c>
      <c r="AO21" s="742">
        <f>IF(ISNUMBER(STDEV(AO8:AO18)),STDEV(AO8:AO18),"-")</f>
        <v>0</v>
      </c>
      <c r="AP21" s="779">
        <f>IF(ISNUMBER(STDEV(AP8:AP18)),STDEV(AP8:AP18),"-")</f>
        <v>3.2847443101613947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zRNFJv/i3iWfXjGckll+zQiCKhXLvVrcw/vqALCLcuOodGsh062vsu5mPBvW4InpNJky0M43AEKeqk3uqCLZvw==" saltValue="7El6ep7wJOeRie49nLL46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PAIS VASCO</v>
      </c>
      <c r="C2" s="375"/>
      <c r="E2" s="375"/>
      <c r="F2" s="375"/>
      <c r="G2" s="375"/>
      <c r="H2" s="375"/>
    </row>
    <row r="3" spans="1:15" ht="39">
      <c r="A3" s="415" t="s">
        <v>218</v>
      </c>
      <c r="B3" s="391" t="str">
        <f>Criterios!A10 &amp;"  "&amp;Criterios!B10</f>
        <v>Provincias  BIZKAIA</v>
      </c>
      <c r="C3" s="415"/>
      <c r="F3" s="375"/>
      <c r="G3" s="375"/>
      <c r="H3" s="375"/>
    </row>
    <row r="4" spans="1:15" ht="13.5" thickBot="1">
      <c r="A4" s="375"/>
      <c r="B4" s="391" t="str">
        <f>Criterios!A11 &amp;"  "&amp;Criterios!B11</f>
        <v>Resumenes por Partidos Judiciales  GERNIKA-LUMO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5R0qWpDECBpR/MZ7dcIUWNiuyA2iaKW/q8VsJSjD81EIzWIuKnwpdOD/oPeDRYM0/OP+E+RQxwHePrdvhmWMuQ==" saltValue="IwAmaaskHg0dP3Kmmz7Yh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PAIS VASCO</v>
      </c>
      <c r="C2" s="391"/>
    </row>
    <row r="3" spans="1:78" ht="19.5">
      <c r="A3" s="425" t="s">
        <v>11</v>
      </c>
      <c r="B3" s="391" t="str">
        <f>Criterios!A10 &amp;"  "&amp;Criterios!B10</f>
        <v>Provincias  BIZKAIA</v>
      </c>
      <c r="C3" s="391"/>
      <c r="D3" s="425"/>
      <c r="BZ3" s="471"/>
    </row>
    <row r="4" spans="1:78" ht="13.5" thickBot="1">
      <c r="B4" s="391" t="str">
        <f>Criterios!A11 &amp;"  "&amp;Criterios!B11</f>
        <v>Resumenes por Partidos Judiciales  GERNIKA-LUMO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154</v>
      </c>
      <c r="E12" s="404">
        <f t="shared" si="0"/>
        <v>38.5</v>
      </c>
      <c r="F12" s="403">
        <f>IF(ISNUMBER(Datos!N12),Datos!N12," - ")</f>
        <v>301</v>
      </c>
      <c r="G12" s="404">
        <f t="shared" si="1"/>
        <v>75.25</v>
      </c>
      <c r="H12" s="403">
        <f>IF(ISNUMBER(Datos!O12),Datos!O12," - ")</f>
        <v>166</v>
      </c>
      <c r="I12" s="404">
        <f t="shared" si="2"/>
        <v>41.5</v>
      </c>
      <c r="BZ12" s="1186">
        <f>Datos!EZ12</f>
        <v>0</v>
      </c>
    </row>
    <row r="13" spans="1:78" ht="14.25" thickTop="1" thickBot="1">
      <c r="A13" s="848" t="str">
        <f>Datos!A13</f>
        <v>TOTAL</v>
      </c>
      <c r="B13" s="849">
        <f>Datos!AP13</f>
        <v>4</v>
      </c>
      <c r="C13" s="851">
        <f>Datos!AR13</f>
        <v>4</v>
      </c>
      <c r="D13" s="849">
        <f>SUBTOTAL(9,D9:D12)</f>
        <v>157</v>
      </c>
      <c r="E13" s="850">
        <f t="shared" si="0"/>
        <v>39.25</v>
      </c>
      <c r="F13" s="849">
        <f>SUBTOTAL(9,F9:F12)</f>
        <v>304</v>
      </c>
      <c r="G13" s="850">
        <f t="shared" si="1"/>
        <v>76</v>
      </c>
      <c r="H13" s="849">
        <f>SUBTOTAL(9,H9:H12)</f>
        <v>166</v>
      </c>
      <c r="I13" s="850">
        <f>IF(ISNUMBER(H13/B13),H13/B13," - ")</f>
        <v>41.5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176</v>
      </c>
      <c r="E16" s="404">
        <f t="shared" si="3"/>
        <v>44</v>
      </c>
      <c r="F16" s="403">
        <f>IF(ISNUMBER(Datos!N16),Datos!N16," - ")</f>
        <v>266</v>
      </c>
      <c r="G16" s="404">
        <f t="shared" si="4"/>
        <v>66.5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16</v>
      </c>
      <c r="E17" s="404">
        <f>IF(ISNUMBER(D17/B17),D17/B17," - ")</f>
        <v>16</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192</v>
      </c>
      <c r="E18" s="850">
        <f t="shared" si="3"/>
        <v>48</v>
      </c>
      <c r="F18" s="849">
        <f>SUBTOTAL(9,F15:F17)</f>
        <v>286</v>
      </c>
      <c r="G18" s="850">
        <f t="shared" si="4"/>
        <v>71.5</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349</v>
      </c>
      <c r="E19" s="795">
        <f>IF(ISNUMBER(D19/B19),D19/B19," - ")</f>
        <v>87.25</v>
      </c>
      <c r="F19" s="794">
        <f>SUBTOTAL(9,F8:F18)</f>
        <v>590</v>
      </c>
      <c r="G19" s="795">
        <f>IF(ISNUMBER(F19/B19),F19/B19," - ")</f>
        <v>147.5</v>
      </c>
      <c r="H19" s="794">
        <f>SUBTOTAL(9,H8:H18)</f>
        <v>166</v>
      </c>
      <c r="I19" s="795">
        <f>IF(ISNUMBER(H19/B19),H19/B19," - ")</f>
        <v>41.5</v>
      </c>
    </row>
    <row r="22" spans="1:78">
      <c r="A22" s="391" t="str">
        <f>Criterios!A4</f>
        <v>Fecha Informe: 28 feb. 2025</v>
      </c>
    </row>
    <row r="27" spans="1:78">
      <c r="A27" s="414"/>
    </row>
  </sheetData>
  <sheetProtection algorithmName="SHA-512" hashValue="/n/RSzJTodJVCeskROFj9WqYvu+7uiHrDF5pusP9zjA1ro0TrS/Uy3VNR17nzSqkZ8HKE68KfiAKc0UfD+DeSg==" saltValue="UGDGfkNi2j6MaDkDcrlJ+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PAIS VASCO</v>
      </c>
    </row>
    <row r="3" spans="1:4" ht="19.5">
      <c r="A3" s="429" t="s">
        <v>32</v>
      </c>
      <c r="B3" s="391" t="str">
        <f>Criterios!A10 &amp;"  "&amp;Criterios!B10</f>
        <v>Provincias  BIZKAIA</v>
      </c>
    </row>
    <row r="4" spans="1:4" ht="13.5" thickBot="1">
      <c r="B4" s="391" t="str">
        <f>Criterios!A11 &amp;"  "&amp;Criterios!B11</f>
        <v>Resumenes por Partidos Judiciales  GERNIKA-LUMO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7</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97</v>
      </c>
      <c r="C12" s="434">
        <f>IF(ISNUMBER(Datos!Q12),Datos!Q12," - ")</f>
        <v>106</v>
      </c>
      <c r="D12" s="408">
        <f>IF(ISNUMBER(Datos!R12),Datos!R12," - ")</f>
        <v>1739</v>
      </c>
    </row>
    <row r="13" spans="1:4" ht="14.25" thickTop="1" thickBot="1">
      <c r="A13" s="848" t="str">
        <f>Datos!A13</f>
        <v>TOTAL</v>
      </c>
      <c r="B13" s="849">
        <f>SUBTOTAL(9,B9:B12)</f>
        <v>98</v>
      </c>
      <c r="C13" s="853">
        <f>SUBTOTAL(9,C9:C12)</f>
        <v>113</v>
      </c>
      <c r="D13" s="851">
        <f>SUBTOTAL(9,D9:D12)</f>
        <v>1744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17</v>
      </c>
      <c r="D16" s="408">
        <f>IF(ISNUMBER(Datos!R16),Datos!R16," - ")</f>
        <v>267</v>
      </c>
    </row>
    <row r="17" spans="1:4" ht="13.5" thickBot="1">
      <c r="A17" s="402" t="str">
        <f>Datos!A17</f>
        <v>Jdos. Violencia contra la mujer</v>
      </c>
      <c r="B17" s="433">
        <f>IF(ISNUMBER(Datos!P17),Datos!P17," - ")</f>
        <v>0</v>
      </c>
      <c r="C17" s="434">
        <f>IF(ISNUMBER(Datos!Q17),Datos!Q17," - ")</f>
        <v>0</v>
      </c>
      <c r="D17" s="408">
        <f>IF(ISNUMBER(Datos!R17),Datos!R17," - ")</f>
        <v>6</v>
      </c>
    </row>
    <row r="18" spans="1:4" ht="14.25" thickTop="1" thickBot="1">
      <c r="A18" s="848" t="str">
        <f>Datos!A18</f>
        <v>TOTAL</v>
      </c>
      <c r="B18" s="849">
        <f>SUBTOTAL(9,B15:B17)</f>
        <v>19</v>
      </c>
      <c r="C18" s="853">
        <f>SUBTOTAL(9,C15:C17)</f>
        <v>17</v>
      </c>
      <c r="D18" s="851">
        <f>SUBTOTAL(9,D15:D17)</f>
        <v>273</v>
      </c>
    </row>
    <row r="19" spans="1:4" ht="16.5" customHeight="1" thickTop="1" thickBot="1">
      <c r="A19" s="793" t="str">
        <f>Datos!A19</f>
        <v>TOTAL JURISDICCIONES</v>
      </c>
      <c r="B19" s="798">
        <f>SUBTOTAL(9,B8:B18)</f>
        <v>117</v>
      </c>
      <c r="C19" s="799">
        <f>SUBTOTAL(9,C8:C18)</f>
        <v>130</v>
      </c>
      <c r="D19" s="800">
        <f>SUBTOTAL(9,D8:D18)</f>
        <v>2017</v>
      </c>
    </row>
    <row r="20" spans="1:4" ht="7.5" customHeight="1"/>
    <row r="21" spans="1:4" ht="6" customHeight="1"/>
    <row r="22" spans="1:4">
      <c r="A22" s="391" t="str">
        <f>Criterios!A4</f>
        <v>Fecha Informe: 28 feb. 2025</v>
      </c>
    </row>
    <row r="27" spans="1:4">
      <c r="A27" s="414"/>
    </row>
  </sheetData>
  <sheetProtection algorithmName="SHA-512" hashValue="9Kof8vRazLD5l+kUA225KHALVrgcNhQstuxNZdad4mEhqhZPe9tNxnRXxFUM46eiBJWRW+RkRyuOpXkDDK24uQ==" saltValue="57F4tc18fvJdJOqbmVShV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PAIS VASCO</v>
      </c>
    </row>
    <row r="3" spans="1:11" ht="18.75" customHeight="1">
      <c r="A3" s="429" t="s">
        <v>118</v>
      </c>
      <c r="B3" s="391" t="str">
        <f>Criterios!A10 &amp;"  "&amp;Criterios!B10</f>
        <v>Provincias  BIZKAIA</v>
      </c>
    </row>
    <row r="4" spans="1:11" ht="10.5" customHeight="1" thickBot="1">
      <c r="B4" s="391" t="str">
        <f>Criterios!A11 &amp;"  "&amp;Criterios!B11</f>
        <v>Resumenes por Partidos Judiciales  GERNIKA-LUMO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-0.25</v>
      </c>
      <c r="C10" s="456">
        <f>IF(ISNUMBER((Datos!J10-Datos!T10)/Datos!T10),(Datos!J10-Datos!T10)/Datos!T10," - ")</f>
        <v>0</v>
      </c>
      <c r="D10" s="456">
        <f>IF(ISNUMBER((Datos!K10-Datos!U10)/Datos!U10),(Datos!K10-Datos!U10)/Datos!U10," - ")</f>
        <v>2</v>
      </c>
      <c r="E10" s="456">
        <f>IF(ISNUMBER((Datos!L10-Datos!V10)/Datos!V10),(Datos!L10-Datos!V10)/Datos!V10," - ")</f>
        <v>-0.34285714285714286</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1.9999999999999998</v>
      </c>
      <c r="I10" s="456">
        <f>IF(ISNUMBER(((NºAsuntos!I10/NºAsuntos!G10)-Datos!BE10)/Datos!BE10),((NºAsuntos!I10/NºAsuntos!G10)-Datos!BE10)/Datos!BE10," - ")</f>
        <v>-0.78095238095238095</v>
      </c>
      <c r="J10" s="461">
        <f>IF(ISNUMBER((('Resol  Asuntos'!D10/NºAsuntos!G10)-Datos!BF10)/Datos!BF10),(('Resol  Asuntos'!D10/NºAsuntos!G10)-Datos!BF10)/Datos!BF10," - ")</f>
        <v>-0.5</v>
      </c>
      <c r="K10" s="462">
        <f>IF(ISNUMBER((((NºAsuntos!C10+NºAsuntos!E10)/NºAsuntos!G10)-Datos!BG10)/Datos!BG10),(((NºAsuntos!C10+NºAsuntos!E10)/NºAsuntos!G10)-Datos!BG10)/Datos!BG10," - ")</f>
        <v>-0.73873873873873885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5.5944055944055944E-2</v>
      </c>
      <c r="C12" s="456">
        <f>IF(ISNUMBER(
   IF(J_V="SI",(Datos!J12-Datos!T12)/Datos!T12,(Datos!J12+Datos!Z12-(Datos!T12+Datos!AH12))/(Datos!T12+Datos!AH12))
     ),IF(J_V="SI",(Datos!J12-Datos!T12)/Datos!T12,(Datos!J12+Datos!Z12-(Datos!T12+Datos!AH12))/(Datos!T12+Datos!AH12))," - ")</f>
        <v>-4.9050632911392403E-2</v>
      </c>
      <c r="D12" s="456">
        <f>IF(ISNUMBER(
   IF(J_V="SI",(Datos!K12-Datos!U12)/Datos!U12,(Datos!K12+Datos!AA12-(Datos!U12+Datos!AI12))/(Datos!U12+Datos!AI12))
     ),IF(J_V="SI",(Datos!K12-Datos!U12)/Datos!U12,(Datos!K12+Datos!AA12-(Datos!U12+Datos!AI12))/(Datos!U12+Datos!AI12))," - ")</f>
        <v>8.838821490467938E-2</v>
      </c>
      <c r="E12" s="456">
        <f>IF(ISNUMBER(
   IF(J_V="SI",(Datos!L12-Datos!V12)/Datos!V12,(Datos!L12+Datos!AB12-(Datos!V12+Datos!AJ12))/(Datos!V12+Datos!AJ12))
     ),IF(J_V="SI",(Datos!L12-Datos!V12)/Datos!V12,(Datos!L12+Datos!AB12-(Datos!V12+Datos!AJ12))/(Datos!V12+Datos!AJ12))," - ")</f>
        <v>-1.5012510425354461E-2</v>
      </c>
      <c r="F12" s="456">
        <f>IF(ISNUMBER((Datos!M12-Datos!W12)/Datos!W12),(Datos!M12-Datos!W12)/Datos!W12," - ")</f>
        <v>8.4507042253521125E-2</v>
      </c>
      <c r="G12" s="457">
        <f>IF(ISNUMBER((Datos!N12-Datos!X12)/Datos!X12),(Datos!N12-Datos!X12)/Datos!X12," - ")</f>
        <v>0.27004219409282698</v>
      </c>
      <c r="H12" s="455">
        <f>IF(ISNUMBER(((NºAsuntos!G12/NºAsuntos!E12)-Datos!BD12)/Datos!BD12),((NºAsuntos!G12/NºAsuntos!E12)-Datos!BD12)/Datos!BD12," - ")</f>
        <v>0.14452803963353969</v>
      </c>
      <c r="I12" s="456">
        <f>IF(ISNUMBER(((NºAsuntos!I12/NºAsuntos!G12)-Datos!BE12)/Datos!BE12),((NºAsuntos!I12/NºAsuntos!G12)-Datos!BE12)/Datos!BE12," - ")</f>
        <v>-9.500353266788128E-2</v>
      </c>
      <c r="J12" s="461">
        <f>IF(ISNUMBER((('Resol  Asuntos'!D12/NºAsuntos!G12)-Datos!BF12)/Datos!BF12),(('Resol  Asuntos'!D12/NºAsuntos!G12)-Datos!BF12)/Datos!BF12," - ")</f>
        <v>-0.4029804617162514</v>
      </c>
      <c r="K12" s="462">
        <f>IF(ISNUMBER((((NºAsuntos!C12+NºAsuntos!E12)/NºAsuntos!G12)-Datos!BG12)/Datos!BG12),(((NºAsuntos!C12+NºAsuntos!E12)/NºAsuntos!G12)-Datos!BG12)/Datos!BG12," - ")</f>
        <v>-6.413808314684101E-2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4.7619047619047616E-2</v>
      </c>
      <c r="C13" s="855">
        <f>IF(ISNUMBER(
   IF(J_V="SI",(Datos!J13-Datos!T13)/Datos!T13,(Datos!J13+Datos!Z13-(Datos!T13+Datos!AH13))/(Datos!T13+Datos!AH13))
     ),IF(J_V="SI",(Datos!J13-Datos!T13)/Datos!T13,(Datos!J13+Datos!Z13-(Datos!T13+Datos!AH13))/(Datos!T13+Datos!AH13))," - ")</f>
        <v>-4.8665620094191522E-2</v>
      </c>
      <c r="D13" s="855">
        <f>IF(ISNUMBER(
   IF(J_V="SI",(Datos!K13-Datos!U13)/Datos!U13,(Datos!K13+Datos!AA13-(Datos!U13+Datos!AI13))/(Datos!U13+Datos!AI13))
     ),IF(J_V="SI",(Datos!K13-Datos!U13)/Datos!U13,(Datos!K13+Datos!AA13-(Datos!U13+Datos!AI13))/(Datos!U13+Datos!AI13))," - ")</f>
        <v>9.499136442141623E-2</v>
      </c>
      <c r="E13" s="855">
        <f>IF(ISNUMBER(
   IF(J_V="SI",(Datos!L13-Datos!V13)/Datos!V13,(Datos!L13+Datos!AB13-(Datos!V13+Datos!AJ13))/(Datos!V13+Datos!AJ13))
     ),IF(J_V="SI",(Datos!L13-Datos!V13)/Datos!V13,(Datos!L13+Datos!AB13-(Datos!V13+Datos!AJ13))/(Datos!V13+Datos!AJ13))," - ")</f>
        <v>-2.4311183144246355E-2</v>
      </c>
      <c r="F13" s="856">
        <f>IF(ISNUMBER((Datos!M13-Datos!W13)/Datos!W13),(Datos!M13-Datos!W13)/Datos!W13," - ")</f>
        <v>9.0277777777777776E-2</v>
      </c>
      <c r="G13" s="857">
        <f>IF(ISNUMBER((Datos!N13-Datos!X13)/Datos!X13),(Datos!N13-Datos!X13)/Datos!X13," - ")</f>
        <v>0.28270042194092826</v>
      </c>
      <c r="H13" s="857">
        <f>IF(ISNUMBER(((NºAsuntos!G13/NºAsuntos!E13)-Datos!BD13)/Datos!BD13),((NºAsuntos!G13/NºAsuntos!E13)-Datos!BD13)/Datos!BD13," - ")</f>
        <v>0.15100577415254474</v>
      </c>
      <c r="I13" s="857">
        <f>IF(ISNUMBER(((NºAsuntos!I13/NºAsuntos!G13)-Datos!BE13)/Datos!BE13),((NºAsuntos!I13/NºAsuntos!G13)-Datos!BE13)/Datos!BE13," - ")</f>
        <v>-0.1089529574771587</v>
      </c>
      <c r="J13" s="857">
        <f>IF(ISNUMBER((('Resol  Asuntos'!D13/NºAsuntos!G13)-Datos!BF13)/Datos!BF13),(('Resol  Asuntos'!D13/NºAsuntos!G13)-Datos!BF13)/Datos!BF13," - ")</f>
        <v>-0.40008315404617034</v>
      </c>
      <c r="K13" s="857">
        <f>IF(ISNUMBER((((NºAsuntos!C13+NºAsuntos!E13)/NºAsuntos!G13)-Datos!BG13)/Datos!BG13),(((NºAsuntos!C13+NºAsuntos!E13)/NºAsuntos!G13)-Datos!BG13)/Datos!BG13," - ")</f>
        <v>-7.4157721746725705E-2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-4.7115384615384615E-2</v>
      </c>
      <c r="C16" s="456">
        <f>IF(ISNUMBER(
   IF(D_I="SI",(Datos!J16-Datos!T16)/Datos!T16,(Datos!J16+Datos!AD16-(Datos!T16+Datos!AL16))/(Datos!T16+Datos!AL16))
     ),IF(D_I="SI",(Datos!J16-Datos!T16)/Datos!T16,(Datos!J16+Datos!AD16-(Datos!T16+Datos!AL16))/(Datos!T16+Datos!AL16))," - ")</f>
        <v>0.26406926406926406</v>
      </c>
      <c r="D16" s="456">
        <f>IF(ISNUMBER(
   IF(D_I="SI",(Datos!K16-Datos!U16)/Datos!U16,(Datos!K16+Datos!AE16-(Datos!U16+Datos!AM16))/(Datos!U16+Datos!AM16))
     ),IF(D_I="SI",(Datos!K16-Datos!U16)/Datos!U16,(Datos!K16+Datos!AE16-(Datos!U16+Datos!AM16))/(Datos!U16+Datos!AM16))," - ")</f>
        <v>0.52154195011337867</v>
      </c>
      <c r="E16" s="456">
        <f>IF(ISNUMBER(
   IF(D_I="SI",(Datos!L16-Datos!V16)/Datos!V16,(Datos!L16+Datos!AF16-(Datos!V16+Datos!AN16))/(Datos!V16+Datos!AN16))
     ),IF(D_I="SI",(Datos!L16-Datos!V16)/Datos!V16,(Datos!L16+Datos!AF16-(Datos!V16+Datos!AN16))/(Datos!V16+Datos!AN16))," - ")</f>
        <v>-0.13696060037523453</v>
      </c>
      <c r="F16" s="456">
        <f>IF(ISNUMBER((Datos!M16-Datos!W16)/Datos!W16),(Datos!M16-Datos!W16)/Datos!W16," - ")</f>
        <v>0.67619047619047623</v>
      </c>
      <c r="G16" s="457">
        <f>IF(ISNUMBER((Datos!N16-Datos!X16)/Datos!X16),(Datos!N16-Datos!X16)/Datos!X16," - ")</f>
        <v>0.25471698113207547</v>
      </c>
      <c r="H16" s="455">
        <f>IF(ISNUMBER(((NºAsuntos!G16/NºAsuntos!E16)-Datos!BD16)/Datos!BD16),((NºAsuntos!G16/NºAsuntos!E16)-Datos!BD16)/Datos!BD16," - ")</f>
        <v>0.20368558382257004</v>
      </c>
      <c r="I16" s="456">
        <f>IF(ISNUMBER(((NºAsuntos!I16/NºAsuntos!G16)-Datos!BE16)/Datos!BE16),((NºAsuntos!I16/NºAsuntos!G16)-Datos!BE16)/Datos!BE16," - ")</f>
        <v>-0.43278632602902894</v>
      </c>
      <c r="J16" s="461">
        <f>IF(ISNUMBER((('Resol  Asuntos'!D16/NºAsuntos!G16)-Datos!BF16)/Datos!BF16),(('Resol  Asuntos'!D16/NºAsuntos!G16)-Datos!BF16)/Datos!BF16," - ")</f>
        <v>0.10163934426229521</v>
      </c>
      <c r="K16" s="462">
        <f>IF(ISNUMBER((((NºAsuntos!C16+NºAsuntos!E16)/NºAsuntos!G16)-Datos!BG16)/Datos!BG16),(((NºAsuntos!C16+NºAsuntos!E16)/NºAsuntos!G16)-Datos!BG16)/Datos!BG16," - ")</f>
        <v>-0.31082947525504995</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-0.4247787610619469</v>
      </c>
      <c r="C17" s="456">
        <f>IF(ISNUMBER(
   IF(D_I="SI",(Datos!J17-Datos!T17)/Datos!T17,(Datos!J17+Datos!AD17-(Datos!T17+Datos!AL17))/(Datos!T17+Datos!AL17))
     ),IF(D_I="SI",(Datos!J17-Datos!T17)/Datos!T17,(Datos!J17+Datos!AD17-(Datos!T17+Datos!AL17))/(Datos!T17+Datos!AL17))," - ")</f>
        <v>0.24489795918367346</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-0.32727272727272727</v>
      </c>
      <c r="F17" s="456">
        <f>IF(ISNUMBER((Datos!M17-Datos!W17)/Datos!W17),(Datos!M17-Datos!W17)/Datos!W17," - ")</f>
        <v>1.2857142857142858</v>
      </c>
      <c r="G17" s="457">
        <f>IF(ISNUMBER((Datos!N17-Datos!X17)/Datos!X17),(Datos!N17-Datos!X17)/Datos!X17," - ")</f>
        <v>-0.39393939393939392</v>
      </c>
      <c r="H17" s="455">
        <f>IF(ISNUMBER(((NºAsuntos!G17/NºAsuntos!E17)-Datos!BD17)/Datos!BD17),((NºAsuntos!G17/NºAsuntos!E17)-Datos!BD17)/Datos!BD17," - ")</f>
        <v>-0.19672131147540994</v>
      </c>
      <c r="I17" s="456">
        <f>IF(ISNUMBER(((NºAsuntos!I17/NºAsuntos!G17)-Datos!BE17)/Datos!BE17),((NºAsuntos!I17/NºAsuntos!G17)-Datos!BE17)/Datos!BE17," - ")</f>
        <v>-0.32727272727272727</v>
      </c>
      <c r="J17" s="461">
        <f>IF(ISNUMBER((('Resol  Asuntos'!D17/NºAsuntos!G17)-Datos!BF17)/Datos!BF17),(('Resol  Asuntos'!D17/NºAsuntos!G17)-Datos!BF17)/Datos!BF17," - ")</f>
        <v>1.285714285714286</v>
      </c>
      <c r="K17" s="462">
        <f>IF(ISNUMBER((((NºAsuntos!C17+NºAsuntos!E17)/NºAsuntos!G17)-Datos!BG17)/Datos!BG17),(((NºAsuntos!C17+NºAsuntos!E17)/NºAsuntos!G17)-Datos!BG17)/Datos!BG17," - ")</f>
        <v>-0.22222222222222229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-8.4128360797918467E-2</v>
      </c>
      <c r="C18" s="855">
        <f>IF(ISNUMBER(
   IF(Criterios!B14="SI",(Datos!J18-Datos!T18)/Datos!T18,(Datos!J18+Datos!AD18-(Datos!T18+Datos!AL18))/(Datos!T18+Datos!AL18))
     ),IF(Criterios!B14="SI",(Datos!J18-Datos!T18)/Datos!T18,(Datos!J18+Datos!AD18-(Datos!T18+Datos!AL18))/(Datos!T18+Datos!AL18))," - ")</f>
        <v>0.26223091976516633</v>
      </c>
      <c r="D18" s="855">
        <f>IF(ISNUMBER(
   IF(Criterios!B14="SI",(Datos!K18-Datos!U18)/Datos!U18,(Datos!K18+Datos!AE18-(Datos!U18+Datos!AM18))/(Datos!U18+Datos!AM18))
     ),IF(Criterios!B14="SI",(Datos!K18-Datos!U18)/Datos!U18,(Datos!K18+Datos!AE18-(Datos!U18+Datos!AM18))/(Datos!U18+Datos!AM18))," - ")</f>
        <v>0.46653144016227183</v>
      </c>
      <c r="E18" s="855">
        <f>IF(ISNUMBER(
   IF(Criterios!B14="SI",(Datos!L18-Datos!V18)/Datos!V18,(Datos!L18+Datos!AF18-(Datos!V18+Datos!AN18))/(Datos!V18+Datos!AN18))
     ),IF(Criterios!B14="SI",(Datos!L18-Datos!V18)/Datos!V18,(Datos!L18+Datos!AF18-(Datos!V18+Datos!AN18))/(Datos!V18+Datos!AN18))," - ")</f>
        <v>-0.15476190476190477</v>
      </c>
      <c r="F18" s="856">
        <f>IF(ISNUMBER((Datos!M18-Datos!W18)/Datos!W18),(Datos!M18-Datos!W18)/Datos!W18," - ")</f>
        <v>0.7142857142857143</v>
      </c>
      <c r="G18" s="857">
        <f>IF(ISNUMBER((Datos!N18-Datos!X18)/Datos!X18),(Datos!N18-Datos!X18)/Datos!X18," - ")</f>
        <v>0.16734693877551021</v>
      </c>
      <c r="H18" s="857">
        <f>IF(ISNUMBER(((NºAsuntos!G18/NºAsuntos!E18)-Datos!BD18)/Datos!BD18),((NºAsuntos!G18/NºAsuntos!E18)-Datos!BD18)/Datos!BD18," - ")</f>
        <v>0.16185669135336581</v>
      </c>
      <c r="I18" s="857">
        <f>IF(ISNUMBER(((NºAsuntos!I18/NºAsuntos!G18)-Datos!BE18)/Datos!BE18),((NºAsuntos!I18/NºAsuntos!G18)-Datos!BE18)/Datos!BE18," - ")</f>
        <v>-0.42364815912533749</v>
      </c>
      <c r="J18" s="857">
        <f>IF(ISNUMBER((('Resol  Asuntos'!D18/NºAsuntos!G18)-Datos!BF18)/Datos!BF18),(('Resol  Asuntos'!D18/NºAsuntos!G18)-Datos!BF18)/Datos!BF18," - ")</f>
        <v>0.16893894487255484</v>
      </c>
      <c r="K18" s="857">
        <f>IF(ISNUMBER((((NºAsuntos!C18+NºAsuntos!E18)/NºAsuntos!G18)-Datos!BG18)/Datos!BG18),(((NºAsuntos!C18+NºAsuntos!E18)/NºAsuntos!G18)-Datos!BG18)/Datos!BG18," - ")</f>
        <v>-0.30295693025853809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-1.7604121940747102E-2</v>
      </c>
      <c r="C19" s="802">
        <f>IF(ISNUMBER(
   IF(J_V="SI",(Datos!J19-Datos!T19)/Datos!T19,(Datos!J19+Datos!Z19-(Datos!T19+Datos!AH19))/(Datos!T19+Datos!AH19))
     ),IF(J_V="SI",(Datos!J19-Datos!T19)/Datos!T19,(Datos!J19+Datos!Z19-(Datos!T19+Datos!AH19))/(Datos!T19+Datos!AH19))," - ")</f>
        <v>8.9721254355400695E-2</v>
      </c>
      <c r="D19" s="802">
        <f>IF(ISNUMBER(
   IF(J_V="SI",(Datos!K19-Datos!U19)/Datos!U19,(Datos!K19+Datos!AA19-(Datos!U19+Datos!AI19))/(Datos!U19+Datos!AI19))
     ),IF(J_V="SI",(Datos!K19-Datos!U19)/Datos!U19,(Datos!K19+Datos!AA19-(Datos!U19+Datos!AI19))/(Datos!U19+Datos!AI19))," - ")</f>
        <v>0.26585820895522388</v>
      </c>
      <c r="E19" s="802">
        <f>IF(ISNUMBER(
   IF(J_V="SI",(Datos!L19-Datos!V19)/Datos!V19,(Datos!L19+Datos!AB19-(Datos!V19+Datos!AJ19))/(Datos!V19+Datos!AJ19))
     ),IF(J_V="SI",(Datos!L19-Datos!V19)/Datos!V19,(Datos!L19+Datos!AB19-(Datos!V19+Datos!AJ19))/(Datos!V19+Datos!AJ19))," - ")</f>
        <v>-8.7966804979253119E-2</v>
      </c>
      <c r="F19" s="803">
        <f>IF(ISNUMBER((Datos!M19-Datos!W19)/Datos!W19),(Datos!M19-Datos!W19)/Datos!W19," - ")</f>
        <v>0.36328125</v>
      </c>
      <c r="G19" s="804">
        <f>IF(ISNUMBER((Datos!N19-Datos!X19)/Datos!X19),(Datos!N19-Datos!X19)/Datos!X19," - ")</f>
        <v>0.22406639004149378</v>
      </c>
      <c r="H19" s="805">
        <f>IF(ISNUMBER((Tasas!B19-Datos!BD19)/Datos!BD19),(Tasas!B19-Datos!BD19)/Datos!BD19," - ")</f>
        <v>0.1616348712075116</v>
      </c>
      <c r="I19" s="806">
        <f>IF(ISNUMBER((Tasas!C19-Datos!BE19)/Datos!BE19),(Tasas!C19-Datos!BE19)/Datos!BE19," - ")</f>
        <v>-0.27951393878980052</v>
      </c>
      <c r="J19" s="807">
        <f>IF(ISNUMBER((Tasas!D19-Datos!BF19)/Datos!BF19),(Tasas!D19-Datos!BF19)/Datos!BF19," - ")</f>
        <v>-0.21452340612252183</v>
      </c>
      <c r="K19" s="807">
        <f>IF(ISNUMBER((Tasas!E19-Datos!BG19)/Datos!BG19),(Tasas!E19-Datos!BG19)/Datos!BG19," - ")</f>
        <v>-0.19593564531549471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tOVmSHbCKrzIUzxijxOzWfNYMqg6McTO4AfY1IzxCODkJ34JluWPs6wKdJ9BRYrxjJXd3rncM2L5KPmN00tmQ==" saltValue="tFLDlAoyiQkndelXEg5s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PAIS VASCO</v>
      </c>
    </row>
    <row r="3" spans="1:7" ht="19.5">
      <c r="A3" s="436" t="s">
        <v>12</v>
      </c>
      <c r="B3" s="391" t="str">
        <f>Criterios!A10 &amp;"  "&amp;Criterios!B10</f>
        <v>Provincias  BIZKAIA</v>
      </c>
    </row>
    <row r="4" spans="1:7" ht="11.25" customHeight="1" thickBot="1">
      <c r="B4" s="391" t="str">
        <f>Criterios!A11 &amp;"  "&amp;Criterios!B11</f>
        <v>Resumenes por Partidos Judiciales  GERNIKA-LUMO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1.2</v>
      </c>
      <c r="C10" s="443">
        <f>IF(ISNUMBER(NºAsuntos!I10/NºAsuntos!G10),NºAsuntos!I10/NºAsuntos!G10," - ")</f>
        <v>3.8333333333333335</v>
      </c>
      <c r="D10" s="444">
        <f>IF(ISNUMBER('Resol  Asuntos'!D10/NºAsuntos!G10),'Resol  Asuntos'!D10/NºAsuntos!G10," - ")</f>
        <v>0.5</v>
      </c>
      <c r="E10" s="445">
        <f>IF(ISNUMBER((NºAsuntos!C10+NºAsuntos!E10)/NºAsuntos!G10),(NºAsuntos!C10+NºAsuntos!E10)/NºAsuntos!G10," - ")</f>
        <v>4.833333333333333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1.0449251247920133</v>
      </c>
      <c r="C12" s="443">
        <f>IF(ISNUMBER(NºAsuntos!I12/NºAsuntos!G12),NºAsuntos!I12/NºAsuntos!G12," - ")</f>
        <v>1.8805732484076434</v>
      </c>
      <c r="D12" s="444">
        <f>IF(ISNUMBER('Resol  Asuntos'!D12/NºAsuntos!G12),'Resol  Asuntos'!D12/NºAsuntos!G12," - ")</f>
        <v>0.24522292993630573</v>
      </c>
      <c r="E12" s="445">
        <f>IF(ISNUMBER((NºAsuntos!C12+NºAsuntos!E12)/NºAsuntos!G12),(NºAsuntos!C12+NºAsuntos!E12)/NºAsuntos!G12," - ")</f>
        <v>2.8805732484076434</v>
      </c>
      <c r="G12" s="463"/>
    </row>
    <row r="13" spans="1:7" ht="14.25" thickTop="1" thickBot="1">
      <c r="A13" s="848" t="str">
        <f>Datos!A13</f>
        <v>TOTAL</v>
      </c>
      <c r="B13" s="858">
        <f>IF(ISNUMBER(NºAsuntos!G13/NºAsuntos!E13),NºAsuntos!G13/NºAsuntos!E13," - ")</f>
        <v>1.0462046204620461</v>
      </c>
      <c r="C13" s="859">
        <f>IF(ISNUMBER(NºAsuntos!I13/NºAsuntos!G13),NºAsuntos!I13/NºAsuntos!G13," - ")</f>
        <v>1.8990536277602523</v>
      </c>
      <c r="D13" s="860">
        <f>IF(ISNUMBER('Resol  Asuntos'!D13/NºAsuntos!G13),'Resol  Asuntos'!D13/NºAsuntos!G13," - ")</f>
        <v>0.2476340694006309</v>
      </c>
      <c r="E13" s="861">
        <f>IF(ISNUMBER((NºAsuntos!C13+NºAsuntos!E13)/NºAsuntos!G13),(NºAsuntos!C13+NºAsuntos!E13)/NºAsuntos!G13," - ")</f>
        <v>2.8990536277602525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1.148972602739726</v>
      </c>
      <c r="C16" s="443">
        <f>IF(ISNUMBER(NºAsuntos!I16/NºAsuntos!G16),NºAsuntos!I16/NºAsuntos!G16," - ")</f>
        <v>1.3710879284649777</v>
      </c>
      <c r="D16" s="444">
        <f>IF(ISNUMBER('Resol  Asuntos'!D16/NºAsuntos!G16),'Resol  Asuntos'!D16/NºAsuntos!G16," - ")</f>
        <v>0.26229508196721313</v>
      </c>
      <c r="E16" s="445">
        <f>IF(ISNUMBER((NºAsuntos!C16+NºAsuntos!E16)/NºAsuntos!G16),(NºAsuntos!C16+NºAsuntos!E16)/NºAsuntos!G16," - ")</f>
        <v>2.3472429210134127</v>
      </c>
      <c r="G16" s="463"/>
    </row>
    <row r="17" spans="1:7" ht="13.5" thickBot="1">
      <c r="A17" s="402" t="str">
        <f>Datos!A17</f>
        <v>Jdos. Violencia contra la mujer</v>
      </c>
      <c r="B17" s="442">
        <f>IF(ISNUMBER(NºAsuntos!G17/NºAsuntos!E17),NºAsuntos!G17/NºAsuntos!E17," - ")</f>
        <v>0.85245901639344257</v>
      </c>
      <c r="C17" s="443">
        <f>IF(ISNUMBER(NºAsuntos!I17/NºAsuntos!G17),NºAsuntos!I17/NºAsuntos!G17," - ")</f>
        <v>1.4230769230769231</v>
      </c>
      <c r="D17" s="444">
        <f>IF(ISNUMBER('Resol  Asuntos'!D17/NºAsuntos!G17),'Resol  Asuntos'!D17/NºAsuntos!G17," - ")</f>
        <v>0.30769230769230771</v>
      </c>
      <c r="E17" s="445">
        <f>IF(ISNUMBER((NºAsuntos!C17+NºAsuntos!E17)/NºAsuntos!G17),(NºAsuntos!C17+NºAsuntos!E17)/NºAsuntos!G17," - ")</f>
        <v>2.4230769230769229</v>
      </c>
      <c r="G17" s="463"/>
    </row>
    <row r="18" spans="1:7" ht="14.25" thickTop="1" thickBot="1">
      <c r="A18" s="848" t="str">
        <f>Datos!A18</f>
        <v>TOTAL</v>
      </c>
      <c r="B18" s="858">
        <f>IF(ISNUMBER(NºAsuntos!G18/NºAsuntos!E18),NºAsuntos!G18/NºAsuntos!E18," - ")</f>
        <v>1.1209302325581396</v>
      </c>
      <c r="C18" s="859">
        <f>IF(ISNUMBER(NºAsuntos!I18/NºAsuntos!G18),NºAsuntos!I18/NºAsuntos!G18," - ")</f>
        <v>1.3748271092669433</v>
      </c>
      <c r="D18" s="862">
        <f>IF(ISNUMBER('Resol  Asuntos'!D18/NºAsuntos!G18),'Resol  Asuntos'!D18/NºAsuntos!G18," - ")</f>
        <v>0.26556016597510373</v>
      </c>
      <c r="E18" s="861">
        <f>IF(ISNUMBER((NºAsuntos!C18+NºAsuntos!E18)/NºAsuntos!G18),(NºAsuntos!C18+NºAsuntos!E18)/NºAsuntos!G18," - ")</f>
        <v>2.3526970954356847</v>
      </c>
      <c r="G18" s="463"/>
    </row>
    <row r="19" spans="1:7" ht="15.75" customHeight="1" thickTop="1" thickBot="1">
      <c r="A19" s="793" t="str">
        <f>Datos!A19</f>
        <v>TOTAL JURISDICCIONES</v>
      </c>
      <c r="B19" s="808">
        <f>IF(ISNUMBER(NºAsuntos!G19/NºAsuntos!E19),NºAsuntos!G19/NºAsuntos!E19," - ")</f>
        <v>1.0847322142286171</v>
      </c>
      <c r="C19" s="809">
        <f>IF(ISNUMBER(NºAsuntos!I19/NºAsuntos!G19),NºAsuntos!I19/NºAsuntos!G19," - ")</f>
        <v>1.6197494473102432</v>
      </c>
      <c r="D19" s="810">
        <f>IF(ISNUMBER('Resol  Asuntos'!D19/NºAsuntos!G19),'Resol  Asuntos'!D19/NºAsuntos!G19," - ")</f>
        <v>0.25718496683861458</v>
      </c>
      <c r="E19" s="811">
        <f>IF(ISNUMBER((NºAsuntos!C19+NºAsuntos!E19)/NºAsuntos!G19),(NºAsuntos!C19+NºAsuntos!E19)/NºAsuntos!G19," - ")</f>
        <v>2.6079587324981577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AAXrFcaCp0FqIRcKu+wvsfvP/R8l4xza0b/48d3JHKo0/vngXzWEdkfnAkLmGsnN8oJ19FlkoRFenOnKDcT1g==" saltValue="B5lzF1dBPvLBt6eDlDvr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PAIS VASCO</v>
      </c>
      <c r="G2" s="263"/>
      <c r="H2" s="262"/>
      <c r="I2" s="262"/>
      <c r="J2" s="262"/>
      <c r="K2" s="262"/>
      <c r="L2" s="262" t="str">
        <f>Criterios!A10 &amp;"  "&amp;Criterios!B10</f>
        <v>Provincias  BIZKAIA</v>
      </c>
      <c r="N2" s="262" t="str">
        <f>Criterios!A11 &amp;"  "&amp;Criterios!B11</f>
        <v>Resumenes por Partidos Judiciales  GERNIKA-LUMO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24</v>
      </c>
      <c r="G10" s="333">
        <f>IF(ISNUMBER(Datos!I10),Datos!I10," - ")</f>
        <v>24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7</v>
      </c>
      <c r="Y10" s="334">
        <f t="shared" ref="Y10:Y12" si="0">SUM(W10:X10)</f>
        <v>13</v>
      </c>
      <c r="Z10" s="335" t="str">
        <f>IF(ISNUMBER(Datos!CC10),Datos!CC10," - ")</f>
        <v xml:space="preserve"> - </v>
      </c>
      <c r="AA10" s="332">
        <f>IF(ISNUMBER(Datos!L10),Datos!L10,"-")</f>
        <v>23</v>
      </c>
      <c r="AB10" s="334">
        <f>IF(ISNUMBER(Datos!R10),Datos!R10," - ")</f>
        <v>5</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1.2</v>
      </c>
      <c r="AM10" s="260">
        <f>IF(ISNUMBER(((NºAsuntos!I10/NºAsuntos!G10)*11)/factor_trimestre),((NºAsuntos!I10/NºAsuntos!G10)*11)/factor_trimestre," - ")</f>
        <v>11.500000000000002</v>
      </c>
      <c r="AN10" s="244">
        <f>IF(ISNUMBER('Resol  Asuntos'!D10/NºAsuntos!G10),'Resol  Asuntos'!D10/NºAsuntos!G10," - ")</f>
        <v>0.5</v>
      </c>
      <c r="AO10" s="245">
        <f>IF(ISNUMBER((NºAsuntos!C10+NºAsuntos!E10)/NºAsuntos!G10),(NºAsuntos!C10+NºAsuntos!E10)/NºAsuntos!G10," - ")</f>
        <v>4.833333333333333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106</v>
      </c>
      <c r="Y12" s="334">
        <f t="shared" si="0"/>
        <v>106</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154</v>
      </c>
      <c r="AJ12" s="229" t="str">
        <f>IF(ISNUMBER(Datos!BW12),Datos!BW12," - ")</f>
        <v xml:space="preserve"> - </v>
      </c>
      <c r="AK12" s="228" t="str">
        <f>IF(ISNUMBER(Datos!BX12),Datos!BX12," - ")</f>
        <v xml:space="preserve"> - </v>
      </c>
      <c r="AL12" s="243">
        <f>IF(ISNUMBER(NºAsuntos!G12/NºAsuntos!E12),NºAsuntos!G12/NºAsuntos!E12," - ")</f>
        <v>1.0449251247920133</v>
      </c>
      <c r="AM12" s="260">
        <f>IF(ISNUMBER(((NºAsuntos!I12/NºAsuntos!G12)*11)/factor_trimestre),((NºAsuntos!I12/NºAsuntos!G12)*11)/factor_trimestre," - ")</f>
        <v>5.6417197452229297</v>
      </c>
      <c r="AN12" s="244">
        <f>IF(ISNUMBER('Resol  Asuntos'!D12/NºAsuntos!G12),'Resol  Asuntos'!D12/NºAsuntos!G12," - ")</f>
        <v>0.24522292993630573</v>
      </c>
      <c r="AO12" s="245">
        <f>IF(ISNUMBER((NºAsuntos!C12+NºAsuntos!E12)/NºAsuntos!G12),(NºAsuntos!C12+NºAsuntos!E12)/NºAsuntos!G12," - ")</f>
        <v>2.8805732484076434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24</v>
      </c>
      <c r="G13" s="866">
        <f t="shared" si="3"/>
        <v>24</v>
      </c>
      <c r="H13" s="865">
        <f t="shared" si="3"/>
        <v>0</v>
      </c>
      <c r="I13" s="867">
        <f t="shared" si="3"/>
        <v>0</v>
      </c>
      <c r="J13" s="867">
        <f t="shared" si="3"/>
        <v>0</v>
      </c>
      <c r="K13" s="867">
        <f t="shared" si="3"/>
        <v>0</v>
      </c>
      <c r="L13" s="867">
        <f t="shared" si="3"/>
        <v>98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113</v>
      </c>
      <c r="Y13" s="868">
        <f t="shared" si="4"/>
        <v>119</v>
      </c>
      <c r="Z13" s="868">
        <f t="shared" si="4"/>
        <v>0</v>
      </c>
      <c r="AA13" s="868">
        <f t="shared" si="4"/>
        <v>23</v>
      </c>
      <c r="AB13" s="868">
        <f t="shared" si="4"/>
        <v>1744</v>
      </c>
      <c r="AC13" s="868">
        <f t="shared" si="4"/>
        <v>28</v>
      </c>
      <c r="AD13" s="868">
        <f t="shared" si="4"/>
        <v>0</v>
      </c>
      <c r="AE13" s="872">
        <f t="shared" si="4"/>
        <v>0</v>
      </c>
      <c r="AF13" s="865">
        <f t="shared" si="4"/>
        <v>0</v>
      </c>
      <c r="AG13" s="873">
        <f t="shared" si="4"/>
        <v>0</v>
      </c>
      <c r="AH13" s="870">
        <f t="shared" si="4"/>
        <v>0</v>
      </c>
      <c r="AI13" s="865">
        <f t="shared" si="4"/>
        <v>157</v>
      </c>
      <c r="AJ13" s="867">
        <f t="shared" si="4"/>
        <v>0</v>
      </c>
      <c r="AK13" s="870">
        <f>SUBTOTAL(9,AK9:AK12)</f>
        <v>0</v>
      </c>
      <c r="AL13" s="874">
        <f>IF(ISNUMBER(NºAsuntos!G13/NºAsuntos!E13),NºAsuntos!G13/NºAsuntos!E13," - ")</f>
        <v>1.0462046204620461</v>
      </c>
      <c r="AM13" s="874">
        <f>IF(ISNUMBER(((NºAsuntos!I13/NºAsuntos!G13)*11)/factor_trimestre),((NºAsuntos!I13/NºAsuntos!G13)*11)/factor_trimestre," - ")</f>
        <v>5.6971608832807572</v>
      </c>
      <c r="AN13" s="875">
        <f>IF(ISNUMBER('Resol  Asuntos'!D13/NºAsuntos!G13),'Resol  Asuntos'!D13/NºAsuntos!G13," - ")</f>
        <v>0.2476340694006309</v>
      </c>
      <c r="AO13" s="876">
        <f>IF(ISNUMBER((NºAsuntos!C13+NºAsuntos!E13)/NºAsuntos!G13),(NºAsuntos!C13+NºAsuntos!E13)/NºAsuntos!G13," - ")</f>
        <v>2.8990536277602525</v>
      </c>
      <c r="AP13" s="877" t="str">
        <f t="shared" si="2"/>
        <v xml:space="preserve"> - </v>
      </c>
      <c r="AQ13" s="877">
        <f>IF(ISNUMBER((H13-W13+K13)/(F13)),(H13-W13+K13)/(F13)," - ")</f>
        <v>-0.25</v>
      </c>
      <c r="AR13" s="878">
        <f>IF(ISNUMBER((Datos!P13-Datos!Q13)/(Datos!R13-Datos!P13+Datos!Q13)),(Datos!P13-Datos!Q13)/(Datos!R13-Datos!P13+Datos!Q13)," - ")</f>
        <v>-8.5275724843661173E-3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1007</v>
      </c>
      <c r="G16" s="333">
        <f>IF(ISNUMBER(IF(D_I="SI",Datos!I16,Datos!I16+Datos!AC16)),IF(D_I="SI",Datos!I16,Datos!I16+Datos!AC16)," - ")</f>
        <v>991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671</v>
      </c>
      <c r="X16" s="226">
        <f>IF(ISNUMBER(Datos!Q16),Datos!Q16," - ")</f>
        <v>17</v>
      </c>
      <c r="Y16" s="334">
        <f t="shared" ref="Y16:Y17" si="7">SUM(W16:X16)</f>
        <v>688</v>
      </c>
      <c r="Z16" s="335" t="str">
        <f>IF(ISNUMBER(Datos!CC16),Datos!CC16," - ")</f>
        <v xml:space="preserve"> - </v>
      </c>
      <c r="AA16" s="332">
        <f>IF(ISNUMBER(IF(D_I="SI",Datos!L16,Datos!L16+Datos!AF16)),IF(D_I="SI",Datos!L16,Datos!L16+Datos!AF16)," - ")</f>
        <v>920</v>
      </c>
      <c r="AB16" s="334">
        <f>IF(ISNUMBER(Datos!R16),Datos!R16," - ")</f>
        <v>267</v>
      </c>
      <c r="AC16" s="334">
        <f t="shared" si="6"/>
        <v>1187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176</v>
      </c>
      <c r="AJ16" s="231" t="str">
        <f>IF(ISNUMBER(Datos!BW16),Datos!BW16," - ")</f>
        <v xml:space="preserve"> - </v>
      </c>
      <c r="AK16" s="232" t="str">
        <f>IF(ISNUMBER(Datos!BX16),Datos!BX16," - ")</f>
        <v xml:space="preserve"> - </v>
      </c>
      <c r="AL16" s="243">
        <f>IF(ISNUMBER(NºAsuntos!G16/NºAsuntos!E16),NºAsuntos!G16/NºAsuntos!E16," - ")</f>
        <v>1.148972602739726</v>
      </c>
      <c r="AM16" s="260">
        <f>IF(ISNUMBER(((NºAsuntos!I16/NºAsuntos!G16)*11)/factor_trimestre),((NºAsuntos!I16/NºAsuntos!G16)*11)/factor_trimestre," - ")</f>
        <v>4.113263785394933</v>
      </c>
      <c r="AN16" s="244">
        <f>IF(ISNUMBER('Resol  Asuntos'!D16/NºAsuntos!G16),'Resol  Asuntos'!D16/NºAsuntos!G16," - ")</f>
        <v>0.26229508196721313</v>
      </c>
      <c r="AO16" s="245">
        <f>IF(ISNUMBER((NºAsuntos!C16+NºAsuntos!E16)/NºAsuntos!G16),(NºAsuntos!C16+NºAsuntos!E16)/NºAsuntos!G16," - ")</f>
        <v>2.3472429210134127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52</v>
      </c>
      <c r="X17" s="226">
        <f>IF(ISNUMBER(Datos!Q17),Datos!Q17," - ")</f>
        <v>0</v>
      </c>
      <c r="Y17" s="334">
        <f t="shared" si="7"/>
        <v>52</v>
      </c>
      <c r="Z17" s="335" t="str">
        <f>IF(ISNUMBER(Datos!CC17),Datos!CC17," - ")</f>
        <v xml:space="preserve"> - </v>
      </c>
      <c r="AA17" s="332">
        <f>IF(ISNUMBER(Datos!L17),Datos!L17,"-")</f>
        <v>74</v>
      </c>
      <c r="AB17" s="334">
        <f>IF(ISNUMBER(Datos!R17),Datos!R17," - ")</f>
        <v>6</v>
      </c>
      <c r="AC17" s="334">
        <f t="shared" si="6"/>
        <v>80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16</v>
      </c>
      <c r="AJ17" s="231" t="str">
        <f>IF(ISNUMBER(Datos!BW17),Datos!BW17," - ")</f>
        <v xml:space="preserve"> - </v>
      </c>
      <c r="AK17" s="232" t="str">
        <f>IF(ISNUMBER(Datos!BX17),Datos!BX17," - ")</f>
        <v xml:space="preserve"> - </v>
      </c>
      <c r="AL17" s="243">
        <f>IF(ISNUMBER(NºAsuntos!G17/NºAsuntos!E17),NºAsuntos!G17/NºAsuntos!E17," - ")</f>
        <v>0.85245901639344257</v>
      </c>
      <c r="AM17" s="260">
        <f>IF(ISNUMBER(((NºAsuntos!I17/NºAsuntos!G17)*11)/factor_trimestre),((NºAsuntos!I17/NºAsuntos!G17)*11)/factor_trimestre," - ")</f>
        <v>4.2692307692307701</v>
      </c>
      <c r="AN17" s="244">
        <f>IF(ISNUMBER('Resol  Asuntos'!D17/NºAsuntos!G17),'Resol  Asuntos'!D17/NºAsuntos!G17," - ")</f>
        <v>0.30769230769230771</v>
      </c>
      <c r="AO17" s="245">
        <f>IF(ISNUMBER((NºAsuntos!C17+NºAsuntos!E17)/NºAsuntos!G17),(NºAsuntos!C17+NºAsuntos!E17)/NºAsuntos!G17," - ")</f>
        <v>2.4230769230769229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1007</v>
      </c>
      <c r="G18" s="866">
        <f>SUBTOTAL(9,G15:G17)</f>
        <v>1056</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723</v>
      </c>
      <c r="X18" s="867">
        <f t="shared" si="11"/>
        <v>17</v>
      </c>
      <c r="Y18" s="868">
        <f t="shared" si="11"/>
        <v>740</v>
      </c>
      <c r="Z18" s="868">
        <f t="shared" si="11"/>
        <v>0</v>
      </c>
      <c r="AA18" s="868">
        <f t="shared" si="11"/>
        <v>994</v>
      </c>
      <c r="AB18" s="868">
        <f t="shared" si="11"/>
        <v>273</v>
      </c>
      <c r="AC18" s="868">
        <f t="shared" si="11"/>
        <v>1267</v>
      </c>
      <c r="AD18" s="868">
        <f t="shared" si="11"/>
        <v>0</v>
      </c>
      <c r="AE18" s="872">
        <f t="shared" si="11"/>
        <v>0</v>
      </c>
      <c r="AF18" s="865">
        <f t="shared" si="11"/>
        <v>0</v>
      </c>
      <c r="AG18" s="873">
        <f t="shared" si="11"/>
        <v>0</v>
      </c>
      <c r="AH18" s="870">
        <f t="shared" si="11"/>
        <v>0</v>
      </c>
      <c r="AI18" s="865">
        <f t="shared" si="11"/>
        <v>192</v>
      </c>
      <c r="AJ18" s="867">
        <f t="shared" si="11"/>
        <v>0</v>
      </c>
      <c r="AK18" s="870">
        <f t="shared" si="11"/>
        <v>0</v>
      </c>
      <c r="AL18" s="874">
        <f>IF(ISNUMBER(NºAsuntos!G18/NºAsuntos!E18),NºAsuntos!G18/NºAsuntos!E18," - ")</f>
        <v>1.1209302325581396</v>
      </c>
      <c r="AM18" s="874">
        <f>IF(ISNUMBER(((NºAsuntos!I18/NºAsuntos!G18)*11)/factor_trimestre),((NºAsuntos!I18/NºAsuntos!G18)*11)/factor_trimestre," - ")</f>
        <v>4.1244813278008303</v>
      </c>
      <c r="AN18" s="875">
        <f>IF(ISNUMBER('Resol  Asuntos'!D18/NºAsuntos!G18),'Resol  Asuntos'!D18/NºAsuntos!G18," - ")</f>
        <v>0.26556016597510373</v>
      </c>
      <c r="AO18" s="876">
        <f>IF(ISNUMBER((NºAsuntos!C18+NºAsuntos!E18)/NºAsuntos!G18),(NºAsuntos!C18+NºAsuntos!E18)/NºAsuntos!G18," - ")</f>
        <v>2.3526970954356847</v>
      </c>
      <c r="AP18" s="877" t="str">
        <f t="shared" si="2"/>
        <v xml:space="preserve"> - </v>
      </c>
      <c r="AQ18" s="877">
        <f>IF(ISNUMBER((H18-W18+K18)/(F18)),(H18-W18+K18)/(F18)," - ")</f>
        <v>-0.71797418073485597</v>
      </c>
      <c r="AR18" s="878">
        <f>IF(ISNUMBER((Datos!P18-Datos!Q18)/(Datos!R18-Datos!P18+Datos!Q18)),(Datos!P18-Datos!Q18)/(Datos!R18-Datos!P18+Datos!Q18)," - ")</f>
        <v>7.3800738007380072E-3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1031</v>
      </c>
      <c r="G19" s="821">
        <f t="shared" si="13"/>
        <v>1080</v>
      </c>
      <c r="H19" s="820">
        <f t="shared" si="13"/>
        <v>0</v>
      </c>
      <c r="I19" s="822">
        <f t="shared" si="13"/>
        <v>0</v>
      </c>
      <c r="J19" s="822">
        <f t="shared" si="13"/>
        <v>0</v>
      </c>
      <c r="K19" s="881">
        <f t="shared" si="13"/>
        <v>0</v>
      </c>
      <c r="L19" s="822">
        <f t="shared" si="13"/>
        <v>117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729</v>
      </c>
      <c r="X19" s="821">
        <f t="shared" si="14"/>
        <v>130</v>
      </c>
      <c r="Y19" s="828">
        <f t="shared" si="14"/>
        <v>859</v>
      </c>
      <c r="Z19" s="828">
        <f t="shared" si="14"/>
        <v>0</v>
      </c>
      <c r="AA19" s="828">
        <f t="shared" si="14"/>
        <v>1017</v>
      </c>
      <c r="AB19" s="828">
        <f t="shared" si="14"/>
        <v>2017</v>
      </c>
      <c r="AC19" s="828">
        <f t="shared" si="14"/>
        <v>1295</v>
      </c>
      <c r="AD19" s="828">
        <f t="shared" si="14"/>
        <v>0</v>
      </c>
      <c r="AE19" s="830">
        <f t="shared" si="14"/>
        <v>0</v>
      </c>
      <c r="AF19" s="831">
        <f t="shared" si="14"/>
        <v>0</v>
      </c>
      <c r="AG19" s="832">
        <f t="shared" si="14"/>
        <v>0</v>
      </c>
      <c r="AH19" s="830">
        <f t="shared" si="14"/>
        <v>0</v>
      </c>
      <c r="AI19" s="820">
        <f t="shared" si="14"/>
        <v>349</v>
      </c>
      <c r="AJ19" s="820">
        <f t="shared" si="14"/>
        <v>0</v>
      </c>
      <c r="AK19" s="830">
        <f t="shared" si="14"/>
        <v>0</v>
      </c>
      <c r="AL19" s="884">
        <f>IF(ISNUMBER(NºAsuntos!G19/NºAsuntos!E19),NºAsuntos!G19/NºAsuntos!E19," - ")</f>
        <v>1.0847322142286171</v>
      </c>
      <c r="AM19" s="885">
        <f>IF(ISNUMBER(((NºAsuntos!I19/NºAsuntos!G19)*11)/factor_trimestre),((NºAsuntos!I19/NºAsuntos!G19)*11)/factor_trimestre," - ")</f>
        <v>4.85924834193073</v>
      </c>
      <c r="AN19" s="885">
        <f>IF(ISNUMBER('Resol  Asuntos'!D19/NºAsuntos!G19),'Resol  Asuntos'!D19/NºAsuntos!G19," - ")</f>
        <v>0.25718496683861458</v>
      </c>
      <c r="AO19" s="886">
        <f>IF(ISNUMBER((NºAsuntos!C19+NºAsuntos!E19)/NºAsuntos!G19),(NºAsuntos!C19+NºAsuntos!E19)/NºAsuntos!G19," - ")</f>
        <v>2.6079587324981577</v>
      </c>
      <c r="AP19" s="887" t="str">
        <f t="shared" si="2"/>
        <v xml:space="preserve"> - </v>
      </c>
      <c r="AQ19" s="888">
        <f>IF(OR(ISNUMBER(FIND("01",Criterios!A8,1)),ISNUMBER(FIND("02",Criterios!A8,1)),ISNUMBER(FIND("03",Criterios!A8,1)),ISNUMBER(FIND("04",Criterios!A8,1))),(I19-W19+K19)/(F19-K19),(H19-W19+K19)/(F19-K19))</f>
        <v>-0.7070805043646945</v>
      </c>
      <c r="AR19" s="889">
        <f>IF(ISNUMBER((Datos!P19-Datos!Q19)/(Datos!R19-Datos!P19+Datos!Q19)),(Datos!P19-Datos!Q19)/(Datos!R19-Datos!P19+Datos!Q19)," - ")</f>
        <v>-6.4039408866995075E-3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567.53531461340208</v>
      </c>
      <c r="G21" s="253">
        <f>IF(ISNUMBER(STDEV(G8:G18)),STDEV(G8:G18),"-")</f>
        <v>540.71110585968177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371.00983814448909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83.987300627336907</v>
      </c>
      <c r="AJ21" s="252">
        <f t="shared" si="18"/>
        <v>0</v>
      </c>
      <c r="AK21" s="254">
        <f t="shared" si="18"/>
        <v>0</v>
      </c>
      <c r="AL21" s="249">
        <f t="shared" si="18"/>
        <v>0.1218544621172488</v>
      </c>
      <c r="AM21" s="250">
        <f t="shared" si="18"/>
        <v>2.8450541278146932</v>
      </c>
      <c r="AN21" s="250">
        <f t="shared" si="18"/>
        <v>9.8260045706210983E-2</v>
      </c>
      <c r="AO21" s="251">
        <f t="shared" si="18"/>
        <v>0.95413616536777834</v>
      </c>
      <c r="AP21" s="291" t="str">
        <f t="shared" si="18"/>
        <v>-</v>
      </c>
      <c r="AQ21" s="292">
        <f t="shared" si="18"/>
        <v>0.33090771661783558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ssMm7HqvgqtvBAkCTN+ScSnmf0eMfYjhLOQiadeEvrB3nDvqWXJGCFHZxdkHslfKKMzYx0J04Y2wHGm/BSv7JQ==" saltValue="HeVc9fHeTUMIDh12giR7h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PAIS VASCO</v>
      </c>
      <c r="E2" s="263"/>
    </row>
    <row r="3" spans="2:20" ht="17.25" customHeight="1">
      <c r="C3" s="267"/>
      <c r="D3" s="262" t="str">
        <f>Criterios!A10 &amp;"  "&amp;Criterios!B10</f>
        <v>Provincias  BIZKAIA</v>
      </c>
      <c r="E3" s="263"/>
    </row>
    <row r="4" spans="2:20" ht="17.25" customHeight="1" thickBot="1">
      <c r="D4" s="262" t="str">
        <f>Criterios!A11 &amp;"  "&amp;Criterios!B11</f>
        <v>Resumenes por Partidos Judiciales  GERNIKA-LUMO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-0.25</v>
      </c>
      <c r="E10" s="348">
        <f>IF(ISNUMBER((Datos!J10-Datos!T10)/Datos!T10),(Datos!J10-Datos!T10)/Datos!T10," - ")</f>
        <v>0</v>
      </c>
      <c r="F10" s="348">
        <f>IF(ISNUMBER((Datos!K10-Datos!U10)/Datos!U10),(Datos!K10-Datos!U10)/Datos!U10," - ")</f>
        <v>2</v>
      </c>
      <c r="G10" s="349">
        <f>IF(ISNUMBER((Datos!L10-Datos!V10)/Datos!V10),(Datos!L10-Datos!V10)/Datos!V10," - ")</f>
        <v>-0.34285714285714286</v>
      </c>
      <c r="H10" s="230">
        <f>IF(ISNUMBER((Datos!M10-Datos!W10)/Datos!W10),(Datos!M10-Datos!W10)/Datos!W10," - ")</f>
        <v>0.5</v>
      </c>
      <c r="I10" s="350">
        <f>IF(ISNUMBER((Tasas!C10-Datos!BE10)/Datos!BE10),(Tasas!C10-Datos!BE10)/Datos!BE10," - ")</f>
        <v>-0.78095238095238095</v>
      </c>
      <c r="J10" s="349">
        <f>IF(ISNUMBER((Tasas!D10-Datos!BF10)/Datos!BF10),(Tasas!D10-Datos!BF10)/Datos!BF10," - ")</f>
        <v>-0.5</v>
      </c>
      <c r="K10" s="351">
        <f>IF(ISNUMBER((Tasas!E10-Datos!BG10)/Datos!BG10),(Tasas!E10-Datos!BG10)/Datos!BG10," - ")</f>
        <v>-0.73873873873873885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8.4507042253521125E-2</v>
      </c>
      <c r="I12" s="350">
        <f>IF(ISNUMBER((Tasas!C12-Datos!BE12)/Datos!BE12),(Tasas!C12-Datos!BE12)/Datos!BE12," - ")</f>
        <v>-9.500353266788128E-2</v>
      </c>
      <c r="J12" s="349">
        <f>IF(ISNUMBER((Tasas!D12-Datos!BF12)/Datos!BF12),(Tasas!D12-Datos!BF12)/Datos!BF12," - ")</f>
        <v>-0.4029804617162514</v>
      </c>
      <c r="K12" s="351">
        <f>IF(ISNUMBER((Tasas!E12-Datos!BG12)/Datos!BG12),(Tasas!E12-Datos!BG12)/Datos!BG12," - ")</f>
        <v>-6.413808314684101E-2</v>
      </c>
      <c r="M12" t="e">
        <f>IF(Monitorios="SI",Datos!CE12,0)</f>
        <v>#REF!</v>
      </c>
      <c r="N12" t="e">
        <f>IF(Monitorios="SI",Datos!CF12,0)</f>
        <v>#REF!</v>
      </c>
      <c r="O12" t="e">
        <f>IF(Monitorios="SI",Datos!CG12,0)</f>
        <v>#REF!</v>
      </c>
      <c r="P12" t="e">
        <f>IF(Monitorios="SI",Datos!CH12,0)</f>
        <v>#REF!</v>
      </c>
      <c r="Q12">
        <f>IF(J_V="SI",0,Datos!AG12)</f>
        <v>196</v>
      </c>
      <c r="R12">
        <f>IF(J_V="SI",0,Datos!AH12)</f>
        <v>64</v>
      </c>
      <c r="S12">
        <f>IF(J_V="SI",0,Datos!AI12)</f>
        <v>60</v>
      </c>
      <c r="T12">
        <f>IF(J_V="SI",0,Datos!AJ12)</f>
        <v>200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9.0277777777777776E-2</v>
      </c>
      <c r="I13" s="357">
        <f>IF(ISNUMBER((Tasas!C13-Datos!BE13)/Datos!BE13),(Tasas!C13-Datos!BE13)/Datos!BE13," - ")</f>
        <v>-0.1089529574771587</v>
      </c>
      <c r="J13" s="355">
        <f>IF(ISNUMBER((Tasas!D13-Datos!BF13)/Datos!BF13),(Tasas!D13-Datos!BF13)/Datos!BF13," - ")</f>
        <v>-0.40008315404617034</v>
      </c>
      <c r="K13" s="358">
        <f>IF(ISNUMBER((Tasas!E13-Datos!BG13)/Datos!BG13),(Tasas!E13-Datos!BG13)/Datos!BG13," - ")</f>
        <v>-7.4157721746725705E-2</v>
      </c>
      <c r="M13" t="e">
        <f>IF(Monitorios="SI",Datos!CE13,0)</f>
        <v>#REF!</v>
      </c>
      <c r="N13" t="e">
        <f>IF(Monitorios="SI",Datos!CF13,0)</f>
        <v>#REF!</v>
      </c>
      <c r="O13" t="e">
        <f>IF(Monitorios="SI",Datos!CG13,0)</f>
        <v>#REF!</v>
      </c>
      <c r="P13" t="e">
        <f>IF(Monitorios="SI",Datos!CH13,0)</f>
        <v>#REF!</v>
      </c>
      <c r="Q13">
        <f>IF(J_V="SI",0,Datos!AG13)</f>
        <v>196</v>
      </c>
      <c r="R13">
        <f>IF(J_V="SI",0,Datos!AH13)</f>
        <v>64</v>
      </c>
      <c r="S13">
        <f>IF(J_V="SI",0,Datos!AI13)</f>
        <v>60</v>
      </c>
      <c r="T13">
        <f>IF(J_V="SI",0,Datos!AJ13)</f>
        <v>200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-4.7115384615384615E-2</v>
      </c>
      <c r="E16" s="348">
        <f>IF(ISNUMBER(
   IF(D_I="SI",(Datos!J16-Datos!T16)/Datos!T16,(Datos!J16+Datos!AD16-(Datos!T16+Datos!AL16))/(Datos!T16+Datos!AL16))
     ),IF(D_I="SI",(Datos!J16-Datos!T16)/Datos!T16,(Datos!J16+Datos!AD16-(Datos!T16+Datos!AL16))/(Datos!T16+Datos!AL16))," - ")</f>
        <v>0.26406926406926406</v>
      </c>
      <c r="F16" s="348">
        <f>IF(ISNUMBER(
   IF(D_I="SI",(Datos!K16-Datos!U16)/Datos!U16,(Datos!K16+Datos!AE16-(Datos!U16+Datos!AM16))/(Datos!U16+Datos!AM16))
     ),IF(D_I="SI",(Datos!K16-Datos!U16)/Datos!U16,(Datos!K16+Datos!AE16-(Datos!U16+Datos!AM16))/(Datos!U16+Datos!AM16))," - ")</f>
        <v>0.52154195011337867</v>
      </c>
      <c r="G16" s="349">
        <f>IF(ISNUMBER(
   IF(D_I="SI",(Datos!L16-Datos!V16)/Datos!V16,(Datos!L16+Datos!AF16-(Datos!V16+Datos!AN16))/(Datos!V16+Datos!AN16))
     ),IF(D_I="SI",(Datos!L16-Datos!V16)/Datos!V16,(Datos!L16+Datos!AF16-(Datos!V16+Datos!AN16))/(Datos!V16+Datos!AN16))," - ")</f>
        <v>-0.13696060037523453</v>
      </c>
      <c r="H16" s="230">
        <f>IF(ISNUMBER((Datos!M16-Datos!W16)/Datos!W16),(Datos!M16-Datos!W16)/Datos!W16," - ")</f>
        <v>0.67619047619047623</v>
      </c>
      <c r="I16" s="350">
        <f>IF(ISNUMBER((Tasas!C16-Datos!BE16)/Datos!BE16),(Tasas!C16-Datos!BE16)/Datos!BE16," - ")</f>
        <v>-0.43278632602902894</v>
      </c>
      <c r="J16" s="349">
        <f>IF(ISNUMBER((Tasas!D16-Datos!BF16)/Datos!BF16),(Tasas!D16-Datos!BF16)/Datos!BF16," - ")</f>
        <v>0.10163934426229521</v>
      </c>
      <c r="K16" s="351">
        <f>IF(ISNUMBER((Tasas!E16-Datos!BG16)/Datos!BG16),(Tasas!E16-Datos!BG16)/Datos!BG16," - ")</f>
        <v>-0.31082947525504995</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-0.4247787610619469</v>
      </c>
      <c r="E17" s="348">
        <f>IF(ISNUMBER(
   IF(D_I="SI",(Datos!J17-Datos!T17)/Datos!T17,(Datos!J17+Datos!AD17-(Datos!T17+Datos!AL17))/(Datos!T17+Datos!AL17))
     ),IF(D_I="SI",(Datos!J17-Datos!T17)/Datos!T17,(Datos!J17+Datos!AD17-(Datos!T17+Datos!AL17))/(Datos!T17+Datos!AL17))," - ")</f>
        <v>0.24489795918367346</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-0.32727272727272727</v>
      </c>
      <c r="H17" s="230">
        <f>IF(ISNUMBER((Datos!M17-Datos!W17)/Datos!W17),(Datos!M17-Datos!W17)/Datos!W17," - ")</f>
        <v>1.2857142857142858</v>
      </c>
      <c r="I17" s="350">
        <f>IF(ISNUMBER((Tasas!C17-Datos!BE17)/Datos!BE17),(Tasas!C17-Datos!BE17)/Datos!BE17," - ")</f>
        <v>-0.32727272727272727</v>
      </c>
      <c r="J17" s="349">
        <f>IF(ISNUMBER((Tasas!D17-Datos!BF17)/Datos!BF17),(Tasas!D17-Datos!BF17)/Datos!BF17," - ")</f>
        <v>1.285714285714286</v>
      </c>
      <c r="K17" s="351">
        <f>IF(ISNUMBER((Tasas!E17-Datos!BG17)/Datos!BG17),(Tasas!E17-Datos!BG17)/Datos!BG17," - ")</f>
        <v>-0.22222222222222229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-8.4128360797918467E-2</v>
      </c>
      <c r="E18" s="354">
        <f>IF(ISNUMBER(
   IF(D_I="SI",(Datos!J18-Datos!T18)/Datos!T18,(Datos!J18+Datos!AD18-(Datos!T18+Datos!AL18))/(Datos!T18+Datos!AL18))
     ),IF(D_I="SI",(Datos!J18-Datos!T18)/Datos!T18,(Datos!J18+Datos!AD18-(Datos!T18+Datos!AL18))/(Datos!T18+Datos!AL18))," - ")</f>
        <v>0.26223091976516633</v>
      </c>
      <c r="F18" s="354">
        <f>IF(ISNUMBER(
   IF(D_I="SI",(Datos!K18-Datos!U18)/Datos!U18,(Datos!K18+Datos!AE18-(Datos!U18+Datos!AM18))/(Datos!U18+Datos!AM18))
     ),IF(D_I="SI",(Datos!K18-Datos!U18)/Datos!U18,(Datos!K18+Datos!AE18-(Datos!U18+Datos!AM18))/(Datos!U18+Datos!AM18))," - ")</f>
        <v>0.46653144016227183</v>
      </c>
      <c r="G18" s="355">
        <f>IF(ISNUMBER(
   IF(D_I="SI",(Datos!L18-Datos!V18)/Datos!V18,(Datos!L18+Datos!AF18-(Datos!V18+Datos!AN18))/(Datos!V18+Datos!AN18))
     ),IF(D_I="SI",(Datos!L18-Datos!V18)/Datos!V18,(Datos!L18+Datos!AF18-(Datos!V18+Datos!AN18))/(Datos!V18+Datos!AN18))," - ")</f>
        <v>-0.15476190476190477</v>
      </c>
      <c r="H18" s="356">
        <f>IF(ISNUMBER((Datos!M18-Datos!W18)/Datos!W18),(Datos!M18-Datos!W18)/Datos!W18," - ")</f>
        <v>0.7142857142857143</v>
      </c>
      <c r="I18" s="357">
        <f>IF(ISNUMBER((Tasas!C18-Datos!BE18)/Datos!BE18),(Tasas!C18-Datos!BE18)/Datos!BE18," - ")</f>
        <v>-0.42364815912533749</v>
      </c>
      <c r="J18" s="355">
        <f>IF(ISNUMBER((Tasas!D18-Datos!BF18)/Datos!BF18),(Tasas!D18-Datos!BF18)/Datos!BF18," - ")</f>
        <v>0.16893894487255484</v>
      </c>
      <c r="K18" s="358">
        <f>IF(ISNUMBER((Tasas!E18-Datos!BG18)/Datos!BG18),(Tasas!E18-Datos!BG18)/Datos!BG18," - ")</f>
        <v>-0.30295693025853809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-1.7604121940747102E-2</v>
      </c>
      <c r="E19" s="363">
        <f>IF(ISNUMBER(
   IF(J_V="SI",(Datos!J19-Datos!T19)/Datos!T19,(Datos!J19+Datos!Z19-(Datos!T19+Datos!AH19))/(Datos!T19+Datos!AH19))
     ),IF(J_V="SI",(Datos!J19-Datos!T19)/Datos!T19,(Datos!J19+Datos!Z19-(Datos!T19+Datos!AH19))/(Datos!T19+Datos!AH19))," - ")</f>
        <v>8.9721254355400695E-2</v>
      </c>
      <c r="F19" s="363">
        <f>IF(ISNUMBER(
   IF(J_V="SI",(Datos!K19-Datos!U19)/Datos!U19,(Datos!K19+Datos!AA19-(Datos!U19+Datos!AI19))/(Datos!U19+Datos!AI19))
     ),IF(J_V="SI",(Datos!K19-Datos!U19)/Datos!U19,(Datos!K19+Datos!AA19-(Datos!U19+Datos!AI19))/(Datos!U19+Datos!AI19))," - ")</f>
        <v>0.26585820895522388</v>
      </c>
      <c r="G19" s="364">
        <f>IF(ISNUMBER(
   IF(J_V="SI",(Datos!L19-Datos!V19)/Datos!V19,(Datos!L19+Datos!AB19-(Datos!V19+Datos!AJ19))/(Datos!V19+Datos!AJ19))
     ),IF(J_V="SI",(Datos!L19-Datos!V19)/Datos!V19,(Datos!L19+Datos!AB19-(Datos!V19+Datos!AJ19))/(Datos!V19+Datos!AJ19))," - ")</f>
        <v>-8.7966804979253119E-2</v>
      </c>
      <c r="H19" s="365">
        <f>IF(ISNUMBER((Datos!M19-Datos!W19)/Datos!W19),(Datos!M19-Datos!W19)/Datos!W19," - ")</f>
        <v>0.36328125</v>
      </c>
      <c r="I19" s="362">
        <f>IF(ISNUMBER((Tasas!C19-Datos!BE19)/Datos!BE19),(Tasas!C19-Datos!BE19)/Datos!BE19," - ")</f>
        <v>-0.27951393878980052</v>
      </c>
      <c r="J19" s="363">
        <f>IF(ISNUMBER((Tasas!D19-Datos!BF19)/Datos!BF19),(Tasas!D19-Datos!BF19)/Datos!BF19," - ")</f>
        <v>-0.21452340612252183</v>
      </c>
      <c r="K19" s="364">
        <f>IF(ISNUMBER((Tasas!E19-Datos!BG19)/Datos!BG19),(Tasas!E19-Datos!BG19)/Datos!BG19," - ")</f>
        <v>-0.19593564531549471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0.17302828879614057</v>
      </c>
      <c r="E21" s="278">
        <f t="shared" si="1"/>
        <v>0.12882287318983521</v>
      </c>
      <c r="F21" s="278">
        <f t="shared" si="1"/>
        <v>0.86746987343837956</v>
      </c>
      <c r="G21" s="279">
        <f t="shared" si="1"/>
        <v>0.10966298934109113</v>
      </c>
      <c r="H21" s="285">
        <f t="shared" si="1"/>
        <v>0.45039637600288224</v>
      </c>
      <c r="I21" s="277">
        <f t="shared" si="1"/>
        <v>0.25332046552482751</v>
      </c>
      <c r="J21" s="278">
        <f t="shared" si="1"/>
        <v>0.67137239238389934</v>
      </c>
      <c r="K21" s="279">
        <f t="shared" si="1"/>
        <v>0.24659376094471069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B9fpQOtObKIcN8ZxfY8Y9/inn5jTxK1W6lFCqsupclQpte4nWi+nXgQbrtuI7J1dMVScJeHZQd8IB/rekqCiw==" saltValue="SZpkZTXuGDWLG0JgKlO4z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